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 SK\02 Privat\01 Diverse\06 Vereine\Bioenergie für Bodensee\"/>
    </mc:Choice>
  </mc:AlternateContent>
  <xr:revisionPtr revIDLastSave="0" documentId="8_{4A93DE21-4CFB-4E75-B98E-587DB14015D2}" xr6:coauthVersionLast="47" xr6:coauthVersionMax="47" xr10:uidLastSave="{00000000-0000-0000-0000-000000000000}"/>
  <bookViews>
    <workbookView xWindow="-120" yWindow="-120" windowWidth="29040" windowHeight="15720" xr2:uid="{5712FFDD-7C00-4DB5-974B-657FC1C7C264}"/>
  </bookViews>
  <sheets>
    <sheet name="Vergleich dynamisch" sheetId="2" r:id="rId1"/>
    <sheet name="Vergleich statisch" sheetId="4" r:id="rId2"/>
    <sheet name="CO2-Steu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J6" i="2"/>
  <c r="G13" i="4"/>
  <c r="G15" i="4" l="1"/>
  <c r="G19" i="4" s="1"/>
  <c r="E10" i="4"/>
  <c r="D14" i="4"/>
  <c r="C14" i="4"/>
  <c r="F14" i="4" s="1"/>
  <c r="D13" i="4"/>
  <c r="C13" i="4"/>
  <c r="G12" i="4"/>
  <c r="F11" i="4"/>
  <c r="D11" i="4"/>
  <c r="C11" i="4"/>
  <c r="F10" i="4"/>
  <c r="D10" i="4"/>
  <c r="C10" i="4"/>
  <c r="D18" i="4"/>
  <c r="C18" i="4"/>
  <c r="D15" i="4" l="1"/>
  <c r="D19" i="4" s="1"/>
  <c r="C15" i="4"/>
  <c r="C19" i="4" s="1"/>
  <c r="G26" i="2"/>
  <c r="H26" i="2"/>
  <c r="J26" i="2"/>
  <c r="G10" i="2"/>
  <c r="G11" i="2" s="1"/>
  <c r="H10" i="2"/>
  <c r="H11" i="2" s="1"/>
  <c r="E13" i="4" s="1"/>
  <c r="F10" i="2"/>
  <c r="E10" i="2"/>
  <c r="F20" i="2"/>
  <c r="G20" i="2"/>
  <c r="G25" i="2" s="1"/>
  <c r="H20" i="2"/>
  <c r="I20" i="2"/>
  <c r="I25" i="2" s="1"/>
  <c r="E20" i="2"/>
  <c r="F7" i="2"/>
  <c r="F26" i="2" s="1"/>
  <c r="E7" i="2"/>
  <c r="E26" i="2" s="1"/>
  <c r="I26" i="2" s="1"/>
  <c r="J15" i="2"/>
  <c r="I24" i="2"/>
  <c r="I15" i="2"/>
  <c r="E24" i="2"/>
  <c r="G24" i="2"/>
  <c r="G15" i="2"/>
  <c r="J10" i="2"/>
  <c r="F13" i="4" l="1"/>
  <c r="F15" i="4" s="1"/>
  <c r="F19" i="4" s="1"/>
  <c r="E15" i="4"/>
  <c r="G27" i="2"/>
  <c r="G58" i="2" s="1"/>
  <c r="H24" i="2"/>
  <c r="F24" i="2"/>
  <c r="F11" i="2"/>
  <c r="E11" i="2"/>
  <c r="C11" i="3"/>
  <c r="B11" i="3"/>
  <c r="C5" i="3"/>
  <c r="C6" i="3" s="1"/>
  <c r="B5" i="3"/>
  <c r="B6" i="3" s="1"/>
  <c r="F25" i="2"/>
  <c r="F15" i="2"/>
  <c r="J19" i="2"/>
  <c r="J11" i="2"/>
  <c r="J27" i="2" s="1"/>
  <c r="H25" i="2"/>
  <c r="E25" i="2"/>
  <c r="H15" i="2"/>
  <c r="E15" i="2"/>
  <c r="G40" i="2" l="1"/>
  <c r="G48" i="2"/>
  <c r="G56" i="2"/>
  <c r="G34" i="2"/>
  <c r="G42" i="2"/>
  <c r="G50" i="2"/>
  <c r="G45" i="2"/>
  <c r="G61" i="2"/>
  <c r="G28" i="2"/>
  <c r="G33" i="2"/>
  <c r="G41" i="2"/>
  <c r="G49" i="2"/>
  <c r="G57" i="2"/>
  <c r="G35" i="2"/>
  <c r="G43" i="2"/>
  <c r="G51" i="2"/>
  <c r="G59" i="2"/>
  <c r="G36" i="2"/>
  <c r="G44" i="2"/>
  <c r="G60" i="2"/>
  <c r="G52" i="2"/>
  <c r="G38" i="2"/>
  <c r="G46" i="2"/>
  <c r="G54" i="2"/>
  <c r="G32" i="2"/>
  <c r="G39" i="2"/>
  <c r="G47" i="2"/>
  <c r="G55" i="2"/>
  <c r="G37" i="2"/>
  <c r="G53" i="2"/>
  <c r="G31" i="2"/>
  <c r="J20" i="2"/>
  <c r="J25" i="2" s="1"/>
  <c r="I11" i="2"/>
  <c r="H27" i="2"/>
  <c r="H31" i="2"/>
  <c r="F27" i="2"/>
  <c r="E27" i="2"/>
  <c r="J28" i="2" l="1"/>
  <c r="J39" i="2"/>
  <c r="J47" i="2"/>
  <c r="J55" i="2"/>
  <c r="J33" i="2"/>
  <c r="J40" i="2"/>
  <c r="J48" i="2"/>
  <c r="J56" i="2"/>
  <c r="J31" i="2"/>
  <c r="J41" i="2"/>
  <c r="J49" i="2"/>
  <c r="J57" i="2"/>
  <c r="J32" i="2"/>
  <c r="J50" i="2"/>
  <c r="J58" i="2"/>
  <c r="J43" i="2"/>
  <c r="J51" i="2"/>
  <c r="J59" i="2"/>
  <c r="J42" i="2"/>
  <c r="J35" i="2"/>
  <c r="J36" i="2"/>
  <c r="J44" i="2"/>
  <c r="J52" i="2"/>
  <c r="J60" i="2"/>
  <c r="J37" i="2"/>
  <c r="J45" i="2"/>
  <c r="J53" i="2"/>
  <c r="J61" i="2"/>
  <c r="J38" i="2"/>
  <c r="J46" i="2"/>
  <c r="J54" i="2"/>
  <c r="J34" i="2"/>
  <c r="H28" i="2"/>
  <c r="H35" i="2"/>
  <c r="H43" i="2"/>
  <c r="H51" i="2"/>
  <c r="H59" i="2"/>
  <c r="H38" i="2"/>
  <c r="H46" i="2"/>
  <c r="H54" i="2"/>
  <c r="H32" i="2"/>
  <c r="H50" i="2"/>
  <c r="H49" i="2"/>
  <c r="H47" i="2"/>
  <c r="H42" i="2"/>
  <c r="H41" i="2"/>
  <c r="H44" i="2"/>
  <c r="H45" i="2"/>
  <c r="H36" i="2"/>
  <c r="H58" i="2"/>
  <c r="H55" i="2"/>
  <c r="H34" i="2"/>
  <c r="H33" i="2"/>
  <c r="H56" i="2"/>
  <c r="H40" i="2"/>
  <c r="H37" i="2"/>
  <c r="H60" i="2"/>
  <c r="H48" i="2"/>
  <c r="H61" i="2"/>
  <c r="H52" i="2"/>
  <c r="H53" i="2"/>
  <c r="H39" i="2"/>
  <c r="H57" i="2"/>
  <c r="E28" i="2"/>
  <c r="E47" i="2"/>
  <c r="E55" i="2"/>
  <c r="E34" i="2"/>
  <c r="E42" i="2"/>
  <c r="E49" i="2"/>
  <c r="E57" i="2"/>
  <c r="E36" i="2"/>
  <c r="E31" i="2"/>
  <c r="E50" i="2"/>
  <c r="E58" i="2"/>
  <c r="E37" i="2"/>
  <c r="E40" i="2"/>
  <c r="E32" i="2"/>
  <c r="E44" i="2"/>
  <c r="E52" i="2"/>
  <c r="E60" i="2"/>
  <c r="E39" i="2"/>
  <c r="E45" i="2"/>
  <c r="E53" i="2"/>
  <c r="E61" i="2"/>
  <c r="E38" i="2"/>
  <c r="E46" i="2"/>
  <c r="E59" i="2"/>
  <c r="E41" i="2"/>
  <c r="E51" i="2"/>
  <c r="E56" i="2"/>
  <c r="E48" i="2"/>
  <c r="E33" i="2"/>
  <c r="E43" i="2"/>
  <c r="E35" i="2"/>
  <c r="E54" i="2"/>
  <c r="F28" i="2"/>
  <c r="F57" i="2"/>
  <c r="F45" i="2"/>
  <c r="F37" i="2"/>
  <c r="F31" i="2"/>
  <c r="F52" i="2"/>
  <c r="F60" i="2"/>
  <c r="F40" i="2"/>
  <c r="F48" i="2"/>
  <c r="F43" i="2"/>
  <c r="F34" i="2"/>
  <c r="F47" i="2"/>
  <c r="F35" i="2"/>
  <c r="F54" i="2"/>
  <c r="F49" i="2"/>
  <c r="F39" i="2"/>
  <c r="F55" i="2"/>
  <c r="F41" i="2"/>
  <c r="F46" i="2"/>
  <c r="F38" i="2"/>
  <c r="F58" i="2"/>
  <c r="F51" i="2"/>
  <c r="F42" i="2"/>
  <c r="F59" i="2"/>
  <c r="F32" i="2"/>
  <c r="F33" i="2"/>
  <c r="F61" i="2"/>
  <c r="F44" i="2"/>
  <c r="F36" i="2"/>
  <c r="F56" i="2"/>
  <c r="F50" i="2"/>
  <c r="F53" i="2"/>
  <c r="I27" i="2"/>
  <c r="I31" i="2" s="1"/>
  <c r="I28" i="2" l="1"/>
  <c r="I40" i="2"/>
  <c r="I48" i="2"/>
  <c r="I56" i="2"/>
  <c r="I32" i="2"/>
  <c r="I34" i="2"/>
  <c r="I42" i="2"/>
  <c r="I50" i="2"/>
  <c r="I58" i="2"/>
  <c r="I35" i="2"/>
  <c r="I43" i="2"/>
  <c r="I59" i="2"/>
  <c r="I51" i="2"/>
  <c r="I37" i="2"/>
  <c r="I45" i="2"/>
  <c r="I53" i="2"/>
  <c r="I61" i="2"/>
  <c r="I38" i="2"/>
  <c r="I46" i="2"/>
  <c r="I54" i="2"/>
  <c r="I33" i="2"/>
  <c r="I52" i="2"/>
  <c r="I44" i="2"/>
  <c r="I36" i="2"/>
  <c r="I55" i="2"/>
  <c r="I39" i="2"/>
  <c r="I41" i="2"/>
  <c r="I57" i="2"/>
  <c r="I47" i="2"/>
  <c r="I49" i="2"/>
  <c r="I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Kuehne, Severin</author>
  </authors>
  <commentList>
    <comment ref="I6" authorId="0" shapeId="0" xr:uid="{A560B893-7CCB-4DD2-B928-197D132B24F7}">
      <text>
        <r>
          <rPr>
            <sz val="9"/>
            <color indexed="81"/>
            <rFont val="Tahoma"/>
            <charset val="1"/>
          </rPr>
          <t xml:space="preserve">
Das Ergebnis in Zelle I11 wird aus den Werten Kosten Jahressverbrauch Heizöl und Kosten Jahresverbrauch Wärmepumpe berechnet: Ergebnis = E22*1/3+H11*2/3
Daher sind die rot markierten Zellen leer. Bitte nicht ausfüllen. </t>
        </r>
      </text>
    </comment>
    <comment ref="H8" authorId="0" shapeId="0" xr:uid="{8CE189C0-0F36-4548-9480-EC1D46560AB1}">
      <text>
        <r>
          <rPr>
            <sz val="9"/>
            <color indexed="81"/>
            <rFont val="Tahoma"/>
            <family val="2"/>
          </rPr>
          <t xml:space="preserve">= Wirkungsgrad einer Wärmepumpe: wenn aus 1 KWh Strom 3,5 KWH Wärme entstehen, ist der Faktor 3,5
- Liegt bei gut gedämmten Häusern bei 4-5
- bei mittelprächtig gedämmten Häusern bei 3-4
- bei schlecht gedämmten Husern darunter </t>
        </r>
      </text>
    </comment>
    <comment ref="C9" authorId="0" shapeId="0" xr:uid="{02949D24-D6C9-4434-8DA7-173F410891B6}">
      <text>
        <r>
          <rPr>
            <sz val="9"/>
            <color indexed="81"/>
            <rFont val="Tahoma"/>
            <family val="2"/>
          </rPr>
          <t xml:space="preserve">keine Anlage holt die physisch mögliche Menge an Energie aus einem Energieträger  
Daumenregel 
z.B. bei Ölheizungen: Wirkungsgrad gleich 90% bzw 0,90
z.B. bei Flüssiggasheizungen: Wirkungsgrad gleich 95% bzw 0,95 
</t>
        </r>
      </text>
    </comment>
    <comment ref="D9" authorId="0" shapeId="0" xr:uid="{EF4F2FC4-C6FF-42EE-9C4A-6AF82980E998}">
      <text>
        <r>
          <rPr>
            <b/>
            <sz val="9"/>
            <color indexed="81"/>
            <rFont val="Tahoma"/>
            <family val="2"/>
          </rPr>
          <t>Schalter für Wirkungsgrad: 
1: wird eingerechnet
leer: wird nicht eingerechnet, d.h. es wird ein Wikungsgrad con 100% oder 1,00 angenommen</t>
        </r>
      </text>
    </comment>
    <comment ref="H9" authorId="0" shapeId="0" xr:uid="{2612104E-1195-4751-B39F-0BD82047C52F}">
      <text>
        <r>
          <rPr>
            <sz val="9"/>
            <color indexed="81"/>
            <rFont val="Tahoma"/>
            <family val="2"/>
          </rPr>
          <t>= 1,0 da schon implizit im Wirkungsgrad enthalten</t>
        </r>
      </text>
    </comment>
    <comment ref="I11" authorId="0" shapeId="0" xr:uid="{2413469F-73E3-43E6-BBC1-DF7AE555B986}">
      <text>
        <r>
          <rPr>
            <b/>
            <sz val="9"/>
            <color indexed="81"/>
            <rFont val="Tahoma"/>
            <charset val="1"/>
          </rPr>
          <t xml:space="preserve">Dieser Wert wird aus den Werten Kosten Jahressverbrauch Heizöl und Kosten Jahresverbrauch Wärmepumpe berechnet: Ergebnis = E22*1/3+H11*2/3
(Daher sind die darüber liegenden Zellen leer.) </t>
        </r>
      </text>
    </comment>
    <comment ref="C14" authorId="0" shapeId="0" xr:uid="{38C267C0-7F8F-4013-9E75-2472C91A29BF}">
      <text>
        <r>
          <rPr>
            <sz val="9"/>
            <color indexed="81"/>
            <rFont val="Tahoma"/>
            <family val="2"/>
          </rPr>
          <t>notwendige Umbaumaßnahmen: 
Fenster, zusätzliche Heizkörper, Fußbodenheizung, Außendämmung
(z.B. bei Wärmepumpeninstallation in alten Gebäuden)</t>
        </r>
      </text>
    </comment>
    <comment ref="D24" authorId="0" shapeId="0" xr:uid="{AB7E315A-B364-419A-98BB-7762119F1057}">
      <text>
        <r>
          <rPr>
            <b/>
            <sz val="9"/>
            <color indexed="81"/>
            <rFont val="Tahoma"/>
            <family val="2"/>
          </rPr>
          <t>Schalter für Einrechnung: 
1: wird eingerechnet
leer: wird nicht eingerechnet</t>
        </r>
      </text>
    </comment>
    <comment ref="D25" authorId="0" shapeId="0" xr:uid="{A20AF478-FC05-4D98-948A-21F085F75637}">
      <text>
        <r>
          <rPr>
            <b/>
            <sz val="9"/>
            <color indexed="81"/>
            <rFont val="Tahoma"/>
            <family val="2"/>
          </rPr>
          <t>Schalter für Einrechnung: 
1: wird eingerechnet
leer: wird nicht eingerechnet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5869C56F-728B-4335-AF9E-6E7E8655AFE5}">
      <text>
        <r>
          <rPr>
            <b/>
            <sz val="9"/>
            <color indexed="81"/>
            <rFont val="Tahoma"/>
            <family val="2"/>
          </rPr>
          <t>Schalter für Einrechnung: 
1: wird eingerechnet
leer: wird nicht eingerechnet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12C2D8E9-E469-4F10-BE35-D44D35C9BA91}">
      <text>
        <r>
          <rPr>
            <b/>
            <sz val="9"/>
            <color indexed="81"/>
            <rFont val="Tahoma"/>
            <family val="2"/>
          </rPr>
          <t>Schalter für Einrechnung: 
1: wird eingerechnet
leer: wird nicht eingerechnet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<sst xmlns="http://schemas.openxmlformats.org/spreadsheetml/2006/main" count="90" uniqueCount="68">
  <si>
    <t>Biogas</t>
  </si>
  <si>
    <t>Jahresverbrauch [KWh]</t>
  </si>
  <si>
    <t>Technische Eingabe-Parameter</t>
  </si>
  <si>
    <t>Anschaffungswert Anlage</t>
  </si>
  <si>
    <t>Grundgebühr pro Jahr</t>
  </si>
  <si>
    <t>Summe:</t>
  </si>
  <si>
    <t>Betriebskosten/Jahr</t>
  </si>
  <si>
    <t>Eingabeparameter</t>
  </si>
  <si>
    <t>Anschaffungskosten</t>
  </si>
  <si>
    <t>Kosten Jahresverbrauch (Eingang)</t>
  </si>
  <si>
    <t>CO2-Steuer [EUR/kg]</t>
  </si>
  <si>
    <t>CO2-Ausstoß / Liter Heizöl [kg/L]</t>
  </si>
  <si>
    <t>CO2-Steuer [EUR/kg]/Liter Heizöl [kg/L]</t>
  </si>
  <si>
    <t>ab 2026</t>
  </si>
  <si>
    <t>heute</t>
  </si>
  <si>
    <t>Heizzöl</t>
  </si>
  <si>
    <t>Flüssiggas</t>
  </si>
  <si>
    <t>CO2-Ausstoß / Liter Flüssiggas [kg/L]</t>
  </si>
  <si>
    <t>Betriebskosten</t>
  </si>
  <si>
    <t>Energiekosten</t>
  </si>
  <si>
    <t>Ergebnisse</t>
  </si>
  <si>
    <t>Gesamtkosten pro Jahr</t>
  </si>
  <si>
    <t>Gesamtkosten über Lebensdauer</t>
  </si>
  <si>
    <t>nach Anzahl Jahren:                                                   0</t>
  </si>
  <si>
    <t>Wirkungsgrad</t>
  </si>
  <si>
    <t>Wärme-pumpe</t>
  </si>
  <si>
    <t>Heizöl</t>
  </si>
  <si>
    <t>Holz-
pellets</t>
  </si>
  <si>
    <t>Flüssig-
gas</t>
  </si>
  <si>
    <t>Wärme-
pumpe</t>
  </si>
  <si>
    <t>Schornsteinfeger</t>
  </si>
  <si>
    <t>Reparatur/Wartung</t>
  </si>
  <si>
    <t>Wertverlust (1/30 Anschaffungswert)</t>
  </si>
  <si>
    <t>CO2-Steuer pro Einheit</t>
  </si>
  <si>
    <t>Preis/KWh (Wärme-Output)</t>
  </si>
  <si>
    <t xml:space="preserve">Flüssiggas </t>
  </si>
  <si>
    <t>Kosten</t>
  </si>
  <si>
    <t>Anmerkung</t>
  </si>
  <si>
    <t>Kosten  für eine neue Heizung bzw. Anschluss ans Wärmenetz</t>
  </si>
  <si>
    <t xml:space="preserve">Wartung </t>
  </si>
  <si>
    <t>Bereitstellung</t>
  </si>
  <si>
    <t>Genossenschaftsanteil</t>
  </si>
  <si>
    <t>CO2-Steuer</t>
  </si>
  <si>
    <t>Energiekosten (ohne CO2-Steuer)</t>
  </si>
  <si>
    <t xml:space="preserve">Summe: </t>
  </si>
  <si>
    <t>nach 30 Jahren:</t>
  </si>
  <si>
    <t>Neue Heizung</t>
  </si>
  <si>
    <t>zus. CO2-Steuer</t>
  </si>
  <si>
    <t>Gaspreis/Liter</t>
  </si>
  <si>
    <t>Heizölpreis/Liter</t>
  </si>
  <si>
    <t>Biogaspreis/KwH</t>
  </si>
  <si>
    <t>'Hybrid' Kombination Öl 1/3 - WP 2/3</t>
  </si>
  <si>
    <t>geschätzt jährlich: Heizöl 350 €, Gas 200 €, Hybrid 450 €</t>
  </si>
  <si>
    <t>ca. 120 € jährlich</t>
  </si>
  <si>
    <t>Bereitstellung monatlich 21 €  (jährlich 252 € )</t>
  </si>
  <si>
    <t>Heizkostenvergleich Heizöl – Flüssiggas – Biogas auf 30 Jahre bei einem typischen Verbrauch von 20.000 kwh (entspricht 2.200 Litern Heizöl) Energie im Jahr</t>
  </si>
  <si>
    <t>Wärmepumpe</t>
  </si>
  <si>
    <t>Gesamtsumme</t>
  </si>
  <si>
    <r>
      <t xml:space="preserve">Hybrid 
</t>
    </r>
    <r>
      <rPr>
        <b/>
        <sz val="10"/>
        <color theme="1"/>
        <rFont val="Calibri"/>
        <family val="2"/>
        <scheme val="minor"/>
      </rPr>
      <t>Öl 1/3 - WP 2/3</t>
    </r>
  </si>
  <si>
    <t>Preis pro Einheit (Einsatzmenge)</t>
  </si>
  <si>
    <t>[Liter]</t>
  </si>
  <si>
    <t>[KWh]</t>
  </si>
  <si>
    <t>[kg]</t>
  </si>
  <si>
    <t>KWh Wärme pro Einheit (physikalisch)</t>
  </si>
  <si>
    <t>Bitte nur die blau hinterlegten Zellen ändern! Fragen und Anmerkungen an severin.kuehne@sap.com</t>
  </si>
  <si>
    <t xml:space="preserve">(ungefähr entsprechede Einsatzmenge Heizöl [Liter]) </t>
  </si>
  <si>
    <t>Einheit des Energieträgers</t>
  </si>
  <si>
    <t>Zusätzl. Investitionskosten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</si>
</sst>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%"/>
    <numFmt numFmtId="165" formatCode="_-* #,##0.0000\ &quot;€&quot;_-;\-* #,##0.0000\ &quot;€&quot;_-;_-* &quot;-&quot;??\ &quot;€&quot;_-;_-@_-"/>
    <numFmt numFmtId="166" formatCode="_-* #,##0.00\ &quot;€&quot;_-;\-* #,##0.00\ &quot;€&quot;_-;_-* &quot;-&quot;????\ &quot;€&quot;_-;_-@_-"/>
    <numFmt numFmtId="167" formatCode="0.000"/>
    <numFmt numFmtId="168" formatCode="_-* #,##0.000\ &quot;€&quot;_-;\-* #,##0.0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202124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 Light"/>
      <family val="2"/>
    </font>
    <font>
      <b/>
      <sz val="13"/>
      <color theme="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44" fontId="0" fillId="0" borderId="0" xfId="0" applyNumberFormat="1"/>
    <xf numFmtId="3" fontId="0" fillId="0" borderId="0" xfId="0" applyNumberFormat="1"/>
    <xf numFmtId="164" fontId="0" fillId="0" borderId="0" xfId="2" applyNumberFormat="1" applyFont="1"/>
    <xf numFmtId="0" fontId="2" fillId="0" borderId="0" xfId="0" applyFont="1"/>
    <xf numFmtId="0" fontId="3" fillId="0" borderId="0" xfId="0" applyFont="1"/>
    <xf numFmtId="44" fontId="3" fillId="0" borderId="0" xfId="1" applyFont="1"/>
    <xf numFmtId="3" fontId="3" fillId="0" borderId="0" xfId="0" applyNumberFormat="1" applyFont="1"/>
    <xf numFmtId="0" fontId="4" fillId="0" borderId="0" xfId="0" applyFont="1"/>
    <xf numFmtId="166" fontId="3" fillId="0" borderId="0" xfId="0" applyNumberFormat="1" applyFont="1"/>
    <xf numFmtId="165" fontId="3" fillId="0" borderId="0" xfId="1" applyNumberFormat="1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 indent="1"/>
    </xf>
    <xf numFmtId="4" fontId="3" fillId="0" borderId="0" xfId="0" applyNumberFormat="1" applyFont="1" applyAlignment="1">
      <alignment horizontal="righ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167" fontId="0" fillId="0" borderId="0" xfId="0" applyNumberFormat="1" applyAlignment="1">
      <alignment horizontal="right" indent="1"/>
    </xf>
    <xf numFmtId="165" fontId="0" fillId="0" borderId="0" xfId="0" applyNumberFormat="1"/>
    <xf numFmtId="44" fontId="4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0" xfId="0" quotePrefix="1" applyNumberFormat="1" applyFont="1"/>
    <xf numFmtId="0" fontId="4" fillId="0" borderId="0" xfId="0" applyFont="1" applyAlignment="1">
      <alignment horizontal="center" vertical="center" wrapText="1"/>
    </xf>
    <xf numFmtId="168" fontId="0" fillId="0" borderId="0" xfId="1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vertical="center"/>
    </xf>
    <xf numFmtId="165" fontId="0" fillId="0" borderId="0" xfId="1" applyNumberFormat="1" applyFont="1"/>
    <xf numFmtId="44" fontId="2" fillId="0" borderId="0" xfId="0" applyNumberFormat="1" applyFont="1"/>
    <xf numFmtId="0" fontId="10" fillId="0" borderId="0" xfId="0" applyFont="1" applyAlignment="1">
      <alignment horizontal="left" vertical="center"/>
    </xf>
    <xf numFmtId="44" fontId="2" fillId="0" borderId="0" xfId="1" applyFont="1"/>
    <xf numFmtId="0" fontId="2" fillId="0" borderId="0" xfId="0" quotePrefix="1" applyFont="1" applyAlignment="1">
      <alignment horizontal="left"/>
    </xf>
    <xf numFmtId="165" fontId="3" fillId="2" borderId="0" xfId="0" quotePrefix="1" applyNumberFormat="1" applyFont="1" applyFill="1" applyBorder="1"/>
    <xf numFmtId="165" fontId="3" fillId="2" borderId="0" xfId="1" applyNumberFormat="1" applyFont="1" applyFill="1" applyBorder="1"/>
    <xf numFmtId="4" fontId="3" fillId="2" borderId="0" xfId="0" applyNumberFormat="1" applyFont="1" applyFill="1" applyBorder="1" applyAlignment="1">
      <alignment horizontal="right" indent="1"/>
    </xf>
    <xf numFmtId="44" fontId="3" fillId="2" borderId="0" xfId="1" applyFont="1" applyFill="1" applyBorder="1"/>
    <xf numFmtId="3" fontId="3" fillId="2" borderId="0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quotePrefix="1"/>
    <xf numFmtId="0" fontId="0" fillId="0" borderId="0" xfId="0" applyFont="1" applyAlignment="1">
      <alignment vertical="top"/>
    </xf>
    <xf numFmtId="0" fontId="3" fillId="3" borderId="0" xfId="0" applyFont="1" applyFill="1" applyAlignment="1">
      <alignment horizontal="center" vertical="center" wrapText="1"/>
    </xf>
    <xf numFmtId="44" fontId="3" fillId="3" borderId="0" xfId="1" applyFont="1" applyFill="1"/>
    <xf numFmtId="165" fontId="3" fillId="3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C04A6"/>
      <color rgb="FF9966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Gesamtkosten über Lebensdauer (30 Jahre)</a:t>
            </a:r>
            <a:endParaRPr lang="de-DE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476159230096237"/>
          <c:y val="0.13559623419917699"/>
          <c:w val="0.77201618547681539"/>
          <c:h val="0.72410687184205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'Vergleich dynamisch'!$E$30</c:f>
              <c:strCache>
                <c:ptCount val="1"/>
                <c:pt idx="0">
                  <c:v>Heizöl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28575">
                <a:solidFill>
                  <a:srgbClr val="FFC000"/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dynamisch'!$E$31:$E$61</c:f>
              <c:numCache>
                <c:formatCode>_("€"* #,##0.00_);_("€"* \(#,##0.00\);_("€"* "-"??_);_(@_)</c:formatCode>
                <c:ptCount val="31"/>
                <c:pt idx="0">
                  <c:v>18000</c:v>
                </c:pt>
                <c:pt idx="1">
                  <c:v>21921.700680272108</c:v>
                </c:pt>
                <c:pt idx="2">
                  <c:v>25843.401360544216</c:v>
                </c:pt>
                <c:pt idx="3">
                  <c:v>29765.102040816324</c:v>
                </c:pt>
                <c:pt idx="4">
                  <c:v>33686.802721088432</c:v>
                </c:pt>
                <c:pt idx="5">
                  <c:v>37608.503401360547</c:v>
                </c:pt>
                <c:pt idx="6">
                  <c:v>41530.204081632648</c:v>
                </c:pt>
                <c:pt idx="7">
                  <c:v>45451.904761904763</c:v>
                </c:pt>
                <c:pt idx="8">
                  <c:v>49373.605442176864</c:v>
                </c:pt>
                <c:pt idx="9">
                  <c:v>53295.306122448979</c:v>
                </c:pt>
                <c:pt idx="10">
                  <c:v>57217.006802721087</c:v>
                </c:pt>
                <c:pt idx="11">
                  <c:v>61138.707482993195</c:v>
                </c:pt>
                <c:pt idx="12">
                  <c:v>65060.408163265303</c:v>
                </c:pt>
                <c:pt idx="13">
                  <c:v>68982.108843537411</c:v>
                </c:pt>
                <c:pt idx="14">
                  <c:v>72903.809523809527</c:v>
                </c:pt>
                <c:pt idx="15">
                  <c:v>76825.510204081627</c:v>
                </c:pt>
                <c:pt idx="16">
                  <c:v>80747.210884353728</c:v>
                </c:pt>
                <c:pt idx="17">
                  <c:v>84668.911564625843</c:v>
                </c:pt>
                <c:pt idx="18">
                  <c:v>88590.612244897959</c:v>
                </c:pt>
                <c:pt idx="19">
                  <c:v>92512.312925170059</c:v>
                </c:pt>
                <c:pt idx="20">
                  <c:v>96434.013605442175</c:v>
                </c:pt>
                <c:pt idx="21">
                  <c:v>100355.71428571428</c:v>
                </c:pt>
                <c:pt idx="22">
                  <c:v>104277.41496598639</c:v>
                </c:pt>
                <c:pt idx="23">
                  <c:v>108199.11564625849</c:v>
                </c:pt>
                <c:pt idx="24">
                  <c:v>112120.81632653061</c:v>
                </c:pt>
                <c:pt idx="25">
                  <c:v>116042.51700680271</c:v>
                </c:pt>
                <c:pt idx="26">
                  <c:v>119964.21768707482</c:v>
                </c:pt>
                <c:pt idx="27">
                  <c:v>123885.91836734692</c:v>
                </c:pt>
                <c:pt idx="28">
                  <c:v>127807.61904761904</c:v>
                </c:pt>
                <c:pt idx="29">
                  <c:v>131729.31972789112</c:v>
                </c:pt>
                <c:pt idx="30">
                  <c:v>135651.02040816325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7-449F-B21F-D805DF3EAB71}"/>
            </c:ext>
          </c:extLst>
        </c:ser>
        <c:ser>
          <c:idx val="1"/>
          <c:order val="1"/>
          <c:tx>
            <c:strRef>
              <c:f>'Vergleich dynamisch'!$F$30</c:f>
              <c:strCache>
                <c:ptCount val="1"/>
                <c:pt idx="0">
                  <c:v>Flüssig-
gas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8575">
                <a:solidFill>
                  <a:schemeClr val="tx1"/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dynamisch'!$F$31:$F$61</c:f>
              <c:numCache>
                <c:formatCode>_("€"* #,##0.00_);_("€"* \(#,##0.00\);_("€"* "-"??_);_(@_)</c:formatCode>
                <c:ptCount val="31"/>
                <c:pt idx="0">
                  <c:v>12000</c:v>
                </c:pt>
                <c:pt idx="1">
                  <c:v>15915.049267003124</c:v>
                </c:pt>
                <c:pt idx="2">
                  <c:v>19830.098534006247</c:v>
                </c:pt>
                <c:pt idx="3">
                  <c:v>23745.147801009371</c:v>
                </c:pt>
                <c:pt idx="4">
                  <c:v>27660.197068012494</c:v>
                </c:pt>
                <c:pt idx="5">
                  <c:v>31575.246335015621</c:v>
                </c:pt>
                <c:pt idx="6">
                  <c:v>35490.295602018741</c:v>
                </c:pt>
                <c:pt idx="7">
                  <c:v>39405.344869021865</c:v>
                </c:pt>
                <c:pt idx="8">
                  <c:v>43320.394136024988</c:v>
                </c:pt>
                <c:pt idx="9">
                  <c:v>47235.443403028119</c:v>
                </c:pt>
                <c:pt idx="10">
                  <c:v>51150.492670031243</c:v>
                </c:pt>
                <c:pt idx="11">
                  <c:v>55065.541937034366</c:v>
                </c:pt>
                <c:pt idx="12">
                  <c:v>58980.59120403749</c:v>
                </c:pt>
                <c:pt idx="13">
                  <c:v>62895.640471040613</c:v>
                </c:pt>
                <c:pt idx="14">
                  <c:v>66810.689738043729</c:v>
                </c:pt>
                <c:pt idx="15">
                  <c:v>70725.739005046868</c:v>
                </c:pt>
                <c:pt idx="16">
                  <c:v>74640.788272049977</c:v>
                </c:pt>
                <c:pt idx="17">
                  <c:v>78555.837539053115</c:v>
                </c:pt>
                <c:pt idx="18">
                  <c:v>82470.886806056238</c:v>
                </c:pt>
                <c:pt idx="19">
                  <c:v>86385.936073059362</c:v>
                </c:pt>
                <c:pt idx="20">
                  <c:v>90300.985340062485</c:v>
                </c:pt>
                <c:pt idx="21">
                  <c:v>94216.034607065609</c:v>
                </c:pt>
                <c:pt idx="22">
                  <c:v>98131.083874068732</c:v>
                </c:pt>
                <c:pt idx="23">
                  <c:v>102046.13314107186</c:v>
                </c:pt>
                <c:pt idx="24">
                  <c:v>105961.18240807498</c:v>
                </c:pt>
                <c:pt idx="25">
                  <c:v>109876.2316750781</c:v>
                </c:pt>
                <c:pt idx="26">
                  <c:v>113791.28094208123</c:v>
                </c:pt>
                <c:pt idx="27">
                  <c:v>117706.33020908435</c:v>
                </c:pt>
                <c:pt idx="28">
                  <c:v>121621.37947608747</c:v>
                </c:pt>
                <c:pt idx="29">
                  <c:v>125536.4287430906</c:v>
                </c:pt>
                <c:pt idx="30">
                  <c:v>129451.47801009372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07-449F-B21F-D805DF3EAB71}"/>
            </c:ext>
          </c:extLst>
        </c:ser>
        <c:ser>
          <c:idx val="2"/>
          <c:order val="2"/>
          <c:tx>
            <c:strRef>
              <c:f>'Vergleich dynamisch'!$G$30</c:f>
              <c:strCache>
                <c:ptCount val="1"/>
                <c:pt idx="0">
                  <c:v>Holz-
pellets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dynamisch'!$G$31:$G$61</c:f>
              <c:numCache>
                <c:formatCode>_("€"* #,##0.00_);_("€"* \(#,##0.00\);_("€"* "-"??_);_(@_)</c:formatCode>
                <c:ptCount val="31"/>
                <c:pt idx="0">
                  <c:v>16000</c:v>
                </c:pt>
                <c:pt idx="1">
                  <c:v>18831.111111111113</c:v>
                </c:pt>
                <c:pt idx="2">
                  <c:v>21662.222222222223</c:v>
                </c:pt>
                <c:pt idx="3">
                  <c:v>24493.333333333336</c:v>
                </c:pt>
                <c:pt idx="4">
                  <c:v>27324.444444444445</c:v>
                </c:pt>
                <c:pt idx="5">
                  <c:v>30155.555555555558</c:v>
                </c:pt>
                <c:pt idx="6">
                  <c:v>32986.666666666672</c:v>
                </c:pt>
                <c:pt idx="7">
                  <c:v>35817.777777777781</c:v>
                </c:pt>
                <c:pt idx="8">
                  <c:v>38648.888888888891</c:v>
                </c:pt>
                <c:pt idx="9">
                  <c:v>41480.000000000007</c:v>
                </c:pt>
                <c:pt idx="10">
                  <c:v>44311.111111111117</c:v>
                </c:pt>
                <c:pt idx="11">
                  <c:v>47142.222222222234</c:v>
                </c:pt>
                <c:pt idx="12">
                  <c:v>49973.333333333343</c:v>
                </c:pt>
                <c:pt idx="13">
                  <c:v>52804.444444444453</c:v>
                </c:pt>
                <c:pt idx="14">
                  <c:v>55635.555555555562</c:v>
                </c:pt>
                <c:pt idx="15">
                  <c:v>58466.666666666679</c:v>
                </c:pt>
                <c:pt idx="16">
                  <c:v>61297.777777777788</c:v>
                </c:pt>
                <c:pt idx="17">
                  <c:v>64128.888888888898</c:v>
                </c:pt>
                <c:pt idx="18">
                  <c:v>66960.000000000015</c:v>
                </c:pt>
                <c:pt idx="19">
                  <c:v>69791.111111111124</c:v>
                </c:pt>
                <c:pt idx="20">
                  <c:v>72622.222222222234</c:v>
                </c:pt>
                <c:pt idx="21">
                  <c:v>75453.333333333343</c:v>
                </c:pt>
                <c:pt idx="22">
                  <c:v>78284.444444444467</c:v>
                </c:pt>
                <c:pt idx="23">
                  <c:v>81115.555555555562</c:v>
                </c:pt>
                <c:pt idx="24">
                  <c:v>83946.666666666686</c:v>
                </c:pt>
                <c:pt idx="25">
                  <c:v>86777.777777777796</c:v>
                </c:pt>
                <c:pt idx="26">
                  <c:v>89608.888888888905</c:v>
                </c:pt>
                <c:pt idx="27">
                  <c:v>92440.000000000015</c:v>
                </c:pt>
                <c:pt idx="28">
                  <c:v>95271.111111111124</c:v>
                </c:pt>
                <c:pt idx="29">
                  <c:v>98102.222222222248</c:v>
                </c:pt>
                <c:pt idx="30">
                  <c:v>100933.33333333336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07-449F-B21F-D805DF3EAB71}"/>
            </c:ext>
          </c:extLst>
        </c:ser>
        <c:ser>
          <c:idx val="3"/>
          <c:order val="3"/>
          <c:tx>
            <c:strRef>
              <c:f>'Vergleich dynamisch'!$H$30</c:f>
              <c:strCache>
                <c:ptCount val="1"/>
                <c:pt idx="0">
                  <c:v>Wärme-
pumpe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28575">
                <a:solidFill>
                  <a:srgbClr val="00B0F0"/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dynamisch'!$H$31:$H$61</c:f>
              <c:numCache>
                <c:formatCode>_("€"* #,##0.00_);_("€"* \(#,##0.00\);_("€"* "-"??_);_(@_)</c:formatCode>
                <c:ptCount val="31"/>
                <c:pt idx="0">
                  <c:v>18000</c:v>
                </c:pt>
                <c:pt idx="1">
                  <c:v>21101.428571428572</c:v>
                </c:pt>
                <c:pt idx="2">
                  <c:v>24202.857142857145</c:v>
                </c:pt>
                <c:pt idx="3">
                  <c:v>27304.285714285714</c:v>
                </c:pt>
                <c:pt idx="4">
                  <c:v>30405.714285714286</c:v>
                </c:pt>
                <c:pt idx="5">
                  <c:v>33507.142857142855</c:v>
                </c:pt>
                <c:pt idx="6">
                  <c:v>36608.571428571428</c:v>
                </c:pt>
                <c:pt idx="7">
                  <c:v>39710</c:v>
                </c:pt>
                <c:pt idx="8">
                  <c:v>42811.428571428572</c:v>
                </c:pt>
                <c:pt idx="9">
                  <c:v>45912.857142857145</c:v>
                </c:pt>
                <c:pt idx="10">
                  <c:v>49014.285714285717</c:v>
                </c:pt>
                <c:pt idx="11">
                  <c:v>52115.71428571429</c:v>
                </c:pt>
                <c:pt idx="12">
                  <c:v>55217.142857142855</c:v>
                </c:pt>
                <c:pt idx="13">
                  <c:v>58318.571428571428</c:v>
                </c:pt>
                <c:pt idx="14">
                  <c:v>61420</c:v>
                </c:pt>
                <c:pt idx="15">
                  <c:v>64521.428571428572</c:v>
                </c:pt>
                <c:pt idx="16">
                  <c:v>67622.857142857145</c:v>
                </c:pt>
                <c:pt idx="17">
                  <c:v>70724.28571428571</c:v>
                </c:pt>
                <c:pt idx="18">
                  <c:v>73825.71428571429</c:v>
                </c:pt>
                <c:pt idx="19">
                  <c:v>76927.14285714287</c:v>
                </c:pt>
                <c:pt idx="20">
                  <c:v>80028.571428571435</c:v>
                </c:pt>
                <c:pt idx="21">
                  <c:v>83130</c:v>
                </c:pt>
                <c:pt idx="22">
                  <c:v>86231.42857142858</c:v>
                </c:pt>
                <c:pt idx="23">
                  <c:v>89332.857142857145</c:v>
                </c:pt>
                <c:pt idx="24">
                  <c:v>92434.28571428571</c:v>
                </c:pt>
                <c:pt idx="25">
                  <c:v>95535.71428571429</c:v>
                </c:pt>
                <c:pt idx="26">
                  <c:v>98637.142857142855</c:v>
                </c:pt>
                <c:pt idx="27">
                  <c:v>101738.57142857143</c:v>
                </c:pt>
                <c:pt idx="28">
                  <c:v>104840</c:v>
                </c:pt>
                <c:pt idx="29">
                  <c:v>107941.42857142858</c:v>
                </c:pt>
                <c:pt idx="30">
                  <c:v>111042.85714285714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07-449F-B21F-D805DF3EAB71}"/>
            </c:ext>
          </c:extLst>
        </c:ser>
        <c:ser>
          <c:idx val="4"/>
          <c:order val="4"/>
          <c:tx>
            <c:strRef>
              <c:f>'Vergleich dynamisch'!$I$30</c:f>
              <c:strCache>
                <c:ptCount val="1"/>
                <c:pt idx="0">
                  <c:v>Hybrid 
Öl 1/3 - WP 2/3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04A6"/>
              </a:solidFill>
              <a:ln w="28575">
                <a:solidFill>
                  <a:srgbClr val="C00000"/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dynamisch'!$I$31:$I$61</c:f>
              <c:numCache>
                <c:formatCode>_("€"* #,##0.00_);_("€"* \(#,##0.00\);_("€"* "-"??_);_(@_)</c:formatCode>
                <c:ptCount val="31"/>
                <c:pt idx="0">
                  <c:v>45000</c:v>
                </c:pt>
                <c:pt idx="1">
                  <c:v>48554.852607709749</c:v>
                </c:pt>
                <c:pt idx="2">
                  <c:v>52109.705215419497</c:v>
                </c:pt>
                <c:pt idx="3">
                  <c:v>55664.557823129253</c:v>
                </c:pt>
                <c:pt idx="4">
                  <c:v>59219.410430839001</c:v>
                </c:pt>
                <c:pt idx="5">
                  <c:v>62774.26303854875</c:v>
                </c:pt>
                <c:pt idx="6">
                  <c:v>66329.115646258506</c:v>
                </c:pt>
                <c:pt idx="7">
                  <c:v>69883.968253968254</c:v>
                </c:pt>
                <c:pt idx="8">
                  <c:v>73438.820861678003</c:v>
                </c:pt>
                <c:pt idx="9">
                  <c:v>76993.673469387752</c:v>
                </c:pt>
                <c:pt idx="10">
                  <c:v>80548.5260770975</c:v>
                </c:pt>
                <c:pt idx="11">
                  <c:v>84103.378684807249</c:v>
                </c:pt>
                <c:pt idx="12">
                  <c:v>87658.231292517012</c:v>
                </c:pt>
                <c:pt idx="13">
                  <c:v>91213.083900226746</c:v>
                </c:pt>
                <c:pt idx="14">
                  <c:v>94767.936507936509</c:v>
                </c:pt>
                <c:pt idx="15">
                  <c:v>98322.789115646257</c:v>
                </c:pt>
                <c:pt idx="16">
                  <c:v>101877.64172335601</c:v>
                </c:pt>
                <c:pt idx="17">
                  <c:v>105432.49433106575</c:v>
                </c:pt>
                <c:pt idx="18">
                  <c:v>108987.3469387755</c:v>
                </c:pt>
                <c:pt idx="19">
                  <c:v>112542.19954648525</c:v>
                </c:pt>
                <c:pt idx="20">
                  <c:v>116097.052154195</c:v>
                </c:pt>
                <c:pt idx="21">
                  <c:v>119651.90476190476</c:v>
                </c:pt>
                <c:pt idx="22">
                  <c:v>123206.75736961451</c:v>
                </c:pt>
                <c:pt idx="23">
                  <c:v>126761.60997732426</c:v>
                </c:pt>
                <c:pt idx="24">
                  <c:v>130316.46258503401</c:v>
                </c:pt>
                <c:pt idx="25">
                  <c:v>133871.31519274376</c:v>
                </c:pt>
                <c:pt idx="26">
                  <c:v>137426.16780045349</c:v>
                </c:pt>
                <c:pt idx="27">
                  <c:v>140981.02040816325</c:v>
                </c:pt>
                <c:pt idx="28">
                  <c:v>144535.87301587302</c:v>
                </c:pt>
                <c:pt idx="29">
                  <c:v>148090.72562358278</c:v>
                </c:pt>
                <c:pt idx="30">
                  <c:v>151645.57823129251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07-449F-B21F-D805DF3EAB71}"/>
            </c:ext>
          </c:extLst>
        </c:ser>
        <c:ser>
          <c:idx val="5"/>
          <c:order val="5"/>
          <c:tx>
            <c:strRef>
              <c:f>'Vergleich dynamisch'!$J$30</c:f>
              <c:strCache>
                <c:ptCount val="1"/>
                <c:pt idx="0">
                  <c:v>Biogas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28575">
                <a:solidFill>
                  <a:srgbClr val="92D050"/>
                </a:solidFill>
              </a:ln>
              <a:effectLst/>
            </c:spPr>
          </c:marker>
          <c:xVal>
            <c:strRef>
              <c:f>'Vergleich dynamisch'!$C$31:$D$61</c:f>
              <c:str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xVal>
          <c:yVal>
            <c:numRef>
              <c:f>'Vergleich dynamisch'!$J$31:$J$61</c:f>
              <c:numCache>
                <c:formatCode>_("€"* #,##0.00_);_("€"* \(#,##0.00\);_("€"* "-"??_);_(@_)</c:formatCode>
                <c:ptCount val="31"/>
                <c:pt idx="0">
                  <c:v>15000</c:v>
                </c:pt>
                <c:pt idx="1">
                  <c:v>17104</c:v>
                </c:pt>
                <c:pt idx="2">
                  <c:v>19208</c:v>
                </c:pt>
                <c:pt idx="3">
                  <c:v>21312</c:v>
                </c:pt>
                <c:pt idx="4">
                  <c:v>23416</c:v>
                </c:pt>
                <c:pt idx="5">
                  <c:v>25520</c:v>
                </c:pt>
                <c:pt idx="6">
                  <c:v>27624</c:v>
                </c:pt>
                <c:pt idx="7">
                  <c:v>29728</c:v>
                </c:pt>
                <c:pt idx="8">
                  <c:v>31832</c:v>
                </c:pt>
                <c:pt idx="9">
                  <c:v>33936</c:v>
                </c:pt>
                <c:pt idx="10">
                  <c:v>36040</c:v>
                </c:pt>
                <c:pt idx="11">
                  <c:v>38144</c:v>
                </c:pt>
                <c:pt idx="12">
                  <c:v>40248</c:v>
                </c:pt>
                <c:pt idx="13">
                  <c:v>42352</c:v>
                </c:pt>
                <c:pt idx="14">
                  <c:v>44456</c:v>
                </c:pt>
                <c:pt idx="15">
                  <c:v>46560</c:v>
                </c:pt>
                <c:pt idx="16">
                  <c:v>48664</c:v>
                </c:pt>
                <c:pt idx="17">
                  <c:v>50768</c:v>
                </c:pt>
                <c:pt idx="18">
                  <c:v>52872</c:v>
                </c:pt>
                <c:pt idx="19">
                  <c:v>54976</c:v>
                </c:pt>
                <c:pt idx="20">
                  <c:v>57080</c:v>
                </c:pt>
                <c:pt idx="21">
                  <c:v>59184</c:v>
                </c:pt>
                <c:pt idx="22">
                  <c:v>61288</c:v>
                </c:pt>
                <c:pt idx="23">
                  <c:v>63392</c:v>
                </c:pt>
                <c:pt idx="24">
                  <c:v>65496</c:v>
                </c:pt>
                <c:pt idx="25">
                  <c:v>67600</c:v>
                </c:pt>
                <c:pt idx="26">
                  <c:v>69704</c:v>
                </c:pt>
                <c:pt idx="27">
                  <c:v>71808</c:v>
                </c:pt>
                <c:pt idx="28">
                  <c:v>73912</c:v>
                </c:pt>
                <c:pt idx="29">
                  <c:v>76016</c:v>
                </c:pt>
                <c:pt idx="30">
                  <c:v>78120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07-449F-B21F-D805DF3EA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82864"/>
        <c:axId val="990466640"/>
      </c:scatterChart>
      <c:valAx>
        <c:axId val="99048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466640"/>
        <c:crosses val="autoZero"/>
        <c:crossBetween val="midCat"/>
      </c:valAx>
      <c:valAx>
        <c:axId val="9904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482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Gesamtkosten pro 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'Vergleich dynamisch'!$C$24</c:f>
              <c:strCache>
                <c:ptCount val="1"/>
                <c:pt idx="0">
                  <c:v>Wertverlust (1/30 Anschaffungswert)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'Vergleich dynamisch'!$E$23:$J$23</c:f>
              <c:strCache>
                <c:ptCount val="6"/>
                <c:pt idx="0">
                  <c:v>Heizöl</c:v>
                </c:pt>
                <c:pt idx="1">
                  <c:v>Flüssig-
gas</c:v>
                </c:pt>
                <c:pt idx="2">
                  <c:v>Holz-
pellets</c:v>
                </c:pt>
                <c:pt idx="3">
                  <c:v>Wärme-
pumpe</c:v>
                </c:pt>
                <c:pt idx="4">
                  <c:v>Hybrid 
Öl 1/3 - WP 2/3</c:v>
                </c:pt>
                <c:pt idx="5">
                  <c:v>Biogas</c:v>
                </c:pt>
              </c:strCache>
            </c:strRef>
          </c:cat>
          <c:val>
            <c:numRef>
              <c:f>'Vergleich dynamisch'!$E$24:$J$24</c:f>
              <c:numCache>
                <c:formatCode>_("€"* #,##0.00_);_("€"* \(#,##0.00\);_("€"* "-"??_);_(@_)</c:formatCode>
                <c:ptCount val="6"/>
                <c:pt idx="0">
                  <c:v>600</c:v>
                </c:pt>
                <c:pt idx="1">
                  <c:v>400</c:v>
                </c:pt>
                <c:pt idx="2">
                  <c:v>533.33333333333337</c:v>
                </c:pt>
                <c:pt idx="3">
                  <c:v>600</c:v>
                </c:pt>
                <c:pt idx="4">
                  <c:v>833.33333333333337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C82-B3E0-31EE4C5C94F7}"/>
            </c:ext>
          </c:extLst>
        </c:ser>
        <c:ser>
          <c:idx val="1"/>
          <c:order val="1"/>
          <c:tx>
            <c:strRef>
              <c:f>'Vergleich dynamisch'!$C$25</c:f>
              <c:strCache>
                <c:ptCount val="1"/>
                <c:pt idx="0">
                  <c:v>Betriebskosten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'Vergleich dynamisch'!$E$23:$J$23</c:f>
              <c:strCache>
                <c:ptCount val="6"/>
                <c:pt idx="0">
                  <c:v>Heizöl</c:v>
                </c:pt>
                <c:pt idx="1">
                  <c:v>Flüssig-
gas</c:v>
                </c:pt>
                <c:pt idx="2">
                  <c:v>Holz-
pellets</c:v>
                </c:pt>
                <c:pt idx="3">
                  <c:v>Wärme-
pumpe</c:v>
                </c:pt>
                <c:pt idx="4">
                  <c:v>Hybrid 
Öl 1/3 - WP 2/3</c:v>
                </c:pt>
                <c:pt idx="5">
                  <c:v>Biogas</c:v>
                </c:pt>
              </c:strCache>
            </c:strRef>
          </c:cat>
          <c:val>
            <c:numRef>
              <c:f>'Vergleich dynamisch'!$E$25:$J$25</c:f>
              <c:numCache>
                <c:formatCode>_("€"* #,##0.00_);_("€"* \(#,##0.00\);_("€"* "-"??_);_(@_)</c:formatCode>
                <c:ptCount val="6"/>
                <c:pt idx="0">
                  <c:v>470</c:v>
                </c:pt>
                <c:pt idx="1">
                  <c:v>320</c:v>
                </c:pt>
                <c:pt idx="2">
                  <c:v>470</c:v>
                </c:pt>
                <c:pt idx="3">
                  <c:v>350</c:v>
                </c:pt>
                <c:pt idx="4">
                  <c:v>570</c:v>
                </c:pt>
                <c:pt idx="5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4-4C82-B3E0-31EE4C5C94F7}"/>
            </c:ext>
          </c:extLst>
        </c:ser>
        <c:ser>
          <c:idx val="2"/>
          <c:order val="2"/>
          <c:tx>
            <c:strRef>
              <c:f>'Vergleich dynamisch'!$C$26</c:f>
              <c:strCache>
                <c:ptCount val="1"/>
                <c:pt idx="0">
                  <c:v>CO2-Steuer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'Vergleich dynamisch'!$E$23:$J$23</c:f>
              <c:strCache>
                <c:ptCount val="6"/>
                <c:pt idx="0">
                  <c:v>Heizöl</c:v>
                </c:pt>
                <c:pt idx="1">
                  <c:v>Flüssig-
gas</c:v>
                </c:pt>
                <c:pt idx="2">
                  <c:v>Holz-
pellets</c:v>
                </c:pt>
                <c:pt idx="3">
                  <c:v>Wärme-
pumpe</c:v>
                </c:pt>
                <c:pt idx="4">
                  <c:v>Hybrid 
Öl 1/3 - WP 2/3</c:v>
                </c:pt>
                <c:pt idx="5">
                  <c:v>Biogas</c:v>
                </c:pt>
              </c:strCache>
            </c:strRef>
          </c:cat>
          <c:val>
            <c:numRef>
              <c:f>'Vergleich dynamisch'!$E$26:$J$26</c:f>
              <c:numCache>
                <c:formatCode>_("€"* #,##0.00_);_("€"* \(#,##0.00\);_("€"* "-"??_);_(@_)</c:formatCode>
                <c:ptCount val="6"/>
                <c:pt idx="0">
                  <c:v>271.42857142857144</c:v>
                </c:pt>
                <c:pt idx="1">
                  <c:v>240.08651766402306</c:v>
                </c:pt>
                <c:pt idx="2">
                  <c:v>0</c:v>
                </c:pt>
                <c:pt idx="3">
                  <c:v>0</c:v>
                </c:pt>
                <c:pt idx="4">
                  <c:v>90.476190476190482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4-4C82-B3E0-31EE4C5C94F7}"/>
            </c:ext>
          </c:extLst>
        </c:ser>
        <c:ser>
          <c:idx val="3"/>
          <c:order val="3"/>
          <c:tx>
            <c:strRef>
              <c:f>'Vergleich dynamisch'!$C$27</c:f>
              <c:strCache>
                <c:ptCount val="1"/>
                <c:pt idx="0">
                  <c:v>Energiekosten (ohne CO2-Steuer)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'Vergleich dynamisch'!$E$23:$J$23</c:f>
              <c:strCache>
                <c:ptCount val="6"/>
                <c:pt idx="0">
                  <c:v>Heizöl</c:v>
                </c:pt>
                <c:pt idx="1">
                  <c:v>Flüssig-
gas</c:v>
                </c:pt>
                <c:pt idx="2">
                  <c:v>Holz-
pellets</c:v>
                </c:pt>
                <c:pt idx="3">
                  <c:v>Wärme-
pumpe</c:v>
                </c:pt>
                <c:pt idx="4">
                  <c:v>Hybrid 
Öl 1/3 - WP 2/3</c:v>
                </c:pt>
                <c:pt idx="5">
                  <c:v>Biogas</c:v>
                </c:pt>
              </c:strCache>
            </c:strRef>
          </c:cat>
          <c:val>
            <c:numRef>
              <c:f>'Vergleich dynamisch'!$E$27:$J$27</c:f>
              <c:numCache>
                <c:formatCode>_("€"* #,##0.00_);_("€"* \(#,##0.00\);_("€"* "-"??_);_(@_)</c:formatCode>
                <c:ptCount val="6"/>
                <c:pt idx="0">
                  <c:v>3180.2721088435369</c:v>
                </c:pt>
                <c:pt idx="1">
                  <c:v>3354.9627493391008</c:v>
                </c:pt>
                <c:pt idx="2">
                  <c:v>2361.1111111111118</c:v>
                </c:pt>
                <c:pt idx="3">
                  <c:v>2751.4285714285716</c:v>
                </c:pt>
                <c:pt idx="4">
                  <c:v>2894.37641723356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B4-4C82-B3E0-31EE4C5C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4834863"/>
        <c:axId val="210522447"/>
        <c:axId val="0"/>
      </c:bar3DChart>
      <c:catAx>
        <c:axId val="19448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2447"/>
        <c:crosses val="autoZero"/>
        <c:auto val="1"/>
        <c:lblAlgn val="ctr"/>
        <c:lblOffset val="100"/>
        <c:noMultiLvlLbl val="0"/>
      </c:catAx>
      <c:valAx>
        <c:axId val="21052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48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571112</xdr:colOff>
      <xdr:row>19</xdr:row>
      <xdr:rowOff>147203</xdr:rowOff>
    </xdr:from>
    <xdr:to>
      <xdr:col>16</xdr:col>
      <xdr:colOff>381000</xdr:colOff>
      <xdr:row>43</xdr:row>
      <xdr:rowOff>8434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CE5BD1-4344-93F4-9BFC-54B58063A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606136</xdr:colOff>
      <xdr:row>0</xdr:row>
      <xdr:rowOff>147205</xdr:rowOff>
    </xdr:from>
    <xdr:to>
      <xdr:col>14</xdr:col>
      <xdr:colOff>1073726</xdr:colOff>
      <xdr:row>19</xdr:row>
      <xdr:rowOff>34637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55039B-8552-BC2C-B04C-56B5D29EC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004D-3800-41F2-B27D-F49ADACF2D2C}">
  <dimension ref="A1:U74"/>
  <sheetViews>
    <sheetView tabSelected="1" zoomScale="110" zoomScaleNormal="110" workbookViewId="0">
      <selection activeCell="I6" sqref="I6"/>
    </sheetView>
  </sheetViews>
  <sheetFormatPr defaultRowHeight="15" x14ac:dyDescent="0.25"/>
  <cols>
    <col min="1" max="2" width="3.7109375" customWidth="1"/>
    <col min="3" max="3" width="38.85546875" customWidth="1"/>
    <col min="4" max="4" width="6.5703125" style="16" customWidth="1"/>
    <col min="5" max="10" width="13.85546875" customWidth="1"/>
    <col min="11" max="12" width="14.140625" customWidth="1"/>
    <col min="13" max="13" width="22.28515625" customWidth="1"/>
    <col min="14" max="14" width="9.5703125" customWidth="1"/>
    <col min="15" max="17" width="16.5703125" customWidth="1"/>
    <col min="18" max="19" width="23.85546875" customWidth="1"/>
  </cols>
  <sheetData>
    <row r="1" spans="1:10" ht="18.75" x14ac:dyDescent="0.3">
      <c r="A1" s="24" t="s">
        <v>7</v>
      </c>
      <c r="E1" s="42" t="s">
        <v>64</v>
      </c>
    </row>
    <row r="2" spans="1:10" ht="15" customHeight="1" x14ac:dyDescent="0.25">
      <c r="B2" s="9" t="s">
        <v>1</v>
      </c>
      <c r="C2" s="6"/>
      <c r="D2" s="23"/>
      <c r="E2" s="39">
        <v>30000</v>
      </c>
      <c r="F2" s="8">
        <f>E2*1.1/10</f>
        <v>3300</v>
      </c>
      <c r="G2" s="41" t="s">
        <v>65</v>
      </c>
      <c r="H2" s="6"/>
      <c r="I2" s="6"/>
      <c r="J2" s="6"/>
    </row>
    <row r="3" spans="1:10" ht="15" customHeight="1" x14ac:dyDescent="0.25">
      <c r="B3" s="6"/>
      <c r="C3" s="6"/>
      <c r="D3" s="23"/>
      <c r="E3" s="8"/>
      <c r="F3" s="8"/>
      <c r="G3" s="8"/>
      <c r="H3" s="6"/>
      <c r="I3" s="6"/>
      <c r="J3" s="6"/>
    </row>
    <row r="4" spans="1:10" s="5" customFormat="1" ht="33" customHeight="1" x14ac:dyDescent="0.25">
      <c r="B4" s="9" t="s">
        <v>2</v>
      </c>
      <c r="C4" s="9"/>
      <c r="D4" s="12"/>
      <c r="E4" s="26" t="s">
        <v>26</v>
      </c>
      <c r="F4" s="26" t="s">
        <v>28</v>
      </c>
      <c r="G4" s="26" t="s">
        <v>27</v>
      </c>
      <c r="H4" s="26" t="s">
        <v>25</v>
      </c>
      <c r="I4" s="26" t="s">
        <v>58</v>
      </c>
      <c r="J4" s="26" t="s">
        <v>0</v>
      </c>
    </row>
    <row r="5" spans="1:10" s="5" customFormat="1" ht="15" customHeight="1" x14ac:dyDescent="0.25">
      <c r="B5" s="9"/>
      <c r="C5" s="6" t="s">
        <v>66</v>
      </c>
      <c r="D5" s="12"/>
      <c r="E5" s="40" t="s">
        <v>60</v>
      </c>
      <c r="F5" s="40" t="s">
        <v>60</v>
      </c>
      <c r="G5" s="40" t="s">
        <v>62</v>
      </c>
      <c r="H5" s="40" t="s">
        <v>61</v>
      </c>
      <c r="I5" s="43"/>
      <c r="J5" s="40" t="s">
        <v>61</v>
      </c>
    </row>
    <row r="6" spans="1:10" ht="15" customHeight="1" x14ac:dyDescent="0.25">
      <c r="B6" s="6"/>
      <c r="C6" s="6" t="s">
        <v>59</v>
      </c>
      <c r="D6" s="23"/>
      <c r="E6" s="35">
        <v>0.93500000000000005</v>
      </c>
      <c r="F6" s="36">
        <v>0.69799999999999995</v>
      </c>
      <c r="G6" s="36">
        <v>0.34</v>
      </c>
      <c r="H6" s="35">
        <v>0.32100000000000001</v>
      </c>
      <c r="I6" s="44"/>
      <c r="J6" s="11">
        <f>IF(E2&gt;20000,0.05,0.0625)</f>
        <v>0.05</v>
      </c>
    </row>
    <row r="7" spans="1:10" ht="15" customHeight="1" x14ac:dyDescent="0.25">
      <c r="B7" s="6"/>
      <c r="C7" s="6" t="s">
        <v>33</v>
      </c>
      <c r="D7" s="23"/>
      <c r="E7" s="11">
        <f>'CO2-Steuer'!B6</f>
        <v>7.9799999999999996E-2</v>
      </c>
      <c r="F7" s="11">
        <f>'CO2-Steuer'!B11</f>
        <v>4.9950000000000001E-2</v>
      </c>
      <c r="G7" s="11">
        <v>0</v>
      </c>
      <c r="H7" s="11">
        <v>0</v>
      </c>
      <c r="I7" s="44"/>
      <c r="J7" s="7">
        <v>0</v>
      </c>
    </row>
    <row r="8" spans="1:10" ht="15" customHeight="1" x14ac:dyDescent="0.25">
      <c r="B8" s="6"/>
      <c r="C8" s="6" t="s">
        <v>63</v>
      </c>
      <c r="D8" s="23"/>
      <c r="E8" s="15">
        <v>9.8000000000000007</v>
      </c>
      <c r="F8" s="15">
        <v>6.57</v>
      </c>
      <c r="G8" s="15">
        <v>4.8</v>
      </c>
      <c r="H8" s="37">
        <v>3.5</v>
      </c>
      <c r="I8" s="44"/>
      <c r="J8" s="15">
        <v>1</v>
      </c>
    </row>
    <row r="9" spans="1:10" ht="15" customHeight="1" x14ac:dyDescent="0.25">
      <c r="B9" s="6"/>
      <c r="C9" s="6" t="s">
        <v>24</v>
      </c>
      <c r="D9" s="23">
        <v>1</v>
      </c>
      <c r="E9" s="15">
        <v>0.9</v>
      </c>
      <c r="F9" s="15">
        <v>0.95</v>
      </c>
      <c r="G9" s="15">
        <v>0.9</v>
      </c>
      <c r="H9" s="15">
        <v>1</v>
      </c>
      <c r="I9" s="44"/>
      <c r="J9" s="15">
        <v>1</v>
      </c>
    </row>
    <row r="10" spans="1:10" ht="15" customHeight="1" x14ac:dyDescent="0.25">
      <c r="B10" s="6"/>
      <c r="C10" s="6" t="s">
        <v>34</v>
      </c>
      <c r="D10" s="23"/>
      <c r="E10" s="25">
        <f>IF($D$9=1,(((E6)/E8)/E9),((E6/E8)))</f>
        <v>0.10600907029478457</v>
      </c>
      <c r="F10" s="25">
        <f>IF($D$9=1,(((F6)/F8)/F9),((F6/F8)))</f>
        <v>0.1118320916446367</v>
      </c>
      <c r="G10" s="25">
        <f>IF($D$9=1,(((G6)/G8)/G9),((G6/G8)))</f>
        <v>7.870370370370372E-2</v>
      </c>
      <c r="H10" s="25">
        <f>IF($D$9=1,(((H6)/H8)/H9),((H6/H8)))</f>
        <v>9.171428571428572E-2</v>
      </c>
      <c r="I10" s="45"/>
      <c r="J10" s="25">
        <f>IF($D$9=1,(((J6+J7)/J8)/J9),((J6+J7)/J8))</f>
        <v>0.05</v>
      </c>
    </row>
    <row r="11" spans="1:10" ht="15" customHeight="1" x14ac:dyDescent="0.25">
      <c r="B11" s="6"/>
      <c r="C11" s="9" t="s">
        <v>9</v>
      </c>
      <c r="D11" s="12"/>
      <c r="E11" s="10">
        <f>$E$2*E10</f>
        <v>3180.2721088435369</v>
      </c>
      <c r="F11" s="10">
        <f>$E$2*F10</f>
        <v>3354.9627493391008</v>
      </c>
      <c r="G11" s="10">
        <f>$E$2*G10</f>
        <v>2361.1111111111118</v>
      </c>
      <c r="H11" s="10">
        <f>$E$2*H10</f>
        <v>2751.4285714285716</v>
      </c>
      <c r="I11" s="10">
        <f>E11*1/3+H11*2/3</f>
        <v>2894.37641723356</v>
      </c>
      <c r="J11" s="10">
        <f>$E$2*J10</f>
        <v>1500</v>
      </c>
    </row>
    <row r="12" spans="1:10" ht="15" customHeight="1" x14ac:dyDescent="0.25">
      <c r="B12" s="9" t="s">
        <v>8</v>
      </c>
      <c r="E12" s="12"/>
      <c r="F12" s="12"/>
      <c r="G12" s="12"/>
      <c r="H12" s="12"/>
      <c r="I12" s="12"/>
      <c r="J12" s="12"/>
    </row>
    <row r="13" spans="1:10" ht="15" customHeight="1" x14ac:dyDescent="0.25">
      <c r="C13" s="6" t="s">
        <v>3</v>
      </c>
      <c r="D13" s="23"/>
      <c r="E13" s="38">
        <v>18000</v>
      </c>
      <c r="F13" s="38">
        <v>12000</v>
      </c>
      <c r="G13" s="38">
        <v>16000</v>
      </c>
      <c r="H13" s="38">
        <v>18000</v>
      </c>
      <c r="I13" s="38">
        <v>25000</v>
      </c>
      <c r="J13" s="38">
        <v>15000</v>
      </c>
    </row>
    <row r="14" spans="1:10" ht="15" customHeight="1" x14ac:dyDescent="0.25">
      <c r="C14" s="6" t="s">
        <v>67</v>
      </c>
      <c r="D14" s="23"/>
      <c r="E14" s="38">
        <v>0</v>
      </c>
      <c r="F14" s="38"/>
      <c r="G14" s="38"/>
      <c r="H14" s="38">
        <v>0</v>
      </c>
      <c r="I14" s="38">
        <v>20000</v>
      </c>
      <c r="J14" s="38">
        <v>0</v>
      </c>
    </row>
    <row r="15" spans="1:10" ht="15" customHeight="1" x14ac:dyDescent="0.25">
      <c r="C15" s="9" t="s">
        <v>5</v>
      </c>
      <c r="D15" s="12"/>
      <c r="E15" s="7">
        <f t="shared" ref="E15:J15" si="0">E13+E14</f>
        <v>18000</v>
      </c>
      <c r="F15" s="7">
        <f t="shared" si="0"/>
        <v>12000</v>
      </c>
      <c r="G15" s="7">
        <f t="shared" si="0"/>
        <v>16000</v>
      </c>
      <c r="H15" s="7">
        <f t="shared" si="0"/>
        <v>18000</v>
      </c>
      <c r="I15" s="7">
        <f t="shared" si="0"/>
        <v>45000</v>
      </c>
      <c r="J15" s="7">
        <f t="shared" si="0"/>
        <v>15000</v>
      </c>
    </row>
    <row r="16" spans="1:10" ht="15" customHeight="1" x14ac:dyDescent="0.25">
      <c r="B16" s="9" t="s">
        <v>6</v>
      </c>
      <c r="C16" s="6"/>
      <c r="D16" s="23"/>
      <c r="E16" s="12"/>
      <c r="F16" s="12"/>
      <c r="G16" s="12"/>
      <c r="H16" s="12"/>
      <c r="I16" s="12"/>
      <c r="J16" s="12"/>
    </row>
    <row r="17" spans="1:21" ht="15" customHeight="1" x14ac:dyDescent="0.25">
      <c r="B17" s="5"/>
      <c r="C17" s="6" t="s">
        <v>30</v>
      </c>
      <c r="D17" s="23"/>
      <c r="E17" s="38">
        <v>120</v>
      </c>
      <c r="F17" s="38">
        <v>120</v>
      </c>
      <c r="G17" s="38">
        <v>120</v>
      </c>
      <c r="H17" s="38">
        <v>0</v>
      </c>
      <c r="I17" s="38">
        <v>120</v>
      </c>
      <c r="J17" s="38">
        <v>0</v>
      </c>
    </row>
    <row r="18" spans="1:21" ht="15" customHeight="1" x14ac:dyDescent="0.25">
      <c r="C18" s="6" t="s">
        <v>31</v>
      </c>
      <c r="E18" s="38">
        <v>350</v>
      </c>
      <c r="F18" s="38">
        <v>200</v>
      </c>
      <c r="G18" s="38">
        <v>350</v>
      </c>
      <c r="H18" s="38">
        <v>350</v>
      </c>
      <c r="I18" s="38">
        <v>450</v>
      </c>
      <c r="J18" s="38">
        <v>100</v>
      </c>
    </row>
    <row r="19" spans="1:21" ht="15" customHeight="1" x14ac:dyDescent="0.25">
      <c r="C19" s="6" t="s">
        <v>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f>IF(E2&gt;20000,(12*42),(12*21))</f>
        <v>504</v>
      </c>
      <c r="S19" s="4"/>
    </row>
    <row r="20" spans="1:21" ht="15" customHeight="1" x14ac:dyDescent="0.25">
      <c r="C20" s="9" t="s">
        <v>5</v>
      </c>
      <c r="D20" s="12"/>
      <c r="E20" s="7">
        <f>E17+E18+E19</f>
        <v>470</v>
      </c>
      <c r="F20" s="7">
        <f t="shared" ref="F20:J20" si="1">F17+F18+F19</f>
        <v>320</v>
      </c>
      <c r="G20" s="7">
        <f t="shared" si="1"/>
        <v>470</v>
      </c>
      <c r="H20" s="7">
        <f t="shared" si="1"/>
        <v>350</v>
      </c>
      <c r="I20" s="7">
        <f t="shared" si="1"/>
        <v>570</v>
      </c>
      <c r="J20" s="7">
        <f t="shared" si="1"/>
        <v>604</v>
      </c>
      <c r="S20" s="4"/>
    </row>
    <row r="21" spans="1:21" ht="15" customHeight="1" x14ac:dyDescent="0.25">
      <c r="Q21" s="4"/>
      <c r="S21" s="4"/>
    </row>
    <row r="22" spans="1:21" s="5" customFormat="1" ht="20.25" customHeight="1" x14ac:dyDescent="0.3">
      <c r="A22" s="24" t="s">
        <v>20</v>
      </c>
      <c r="B22"/>
      <c r="C22"/>
      <c r="D22" s="16"/>
      <c r="E22" s="12"/>
      <c r="F22" s="12"/>
      <c r="G22" s="12"/>
      <c r="H22" s="12"/>
      <c r="I22" s="12"/>
      <c r="J22" s="12"/>
    </row>
    <row r="23" spans="1:21" ht="15" customHeight="1" x14ac:dyDescent="0.25">
      <c r="A23" s="5"/>
      <c r="B23" s="9" t="s">
        <v>21</v>
      </c>
      <c r="C23" s="9"/>
      <c r="D23" s="12"/>
      <c r="E23" s="26" t="s">
        <v>26</v>
      </c>
      <c r="F23" s="26" t="s">
        <v>28</v>
      </c>
      <c r="G23" s="26" t="s">
        <v>27</v>
      </c>
      <c r="H23" s="26" t="s">
        <v>29</v>
      </c>
      <c r="I23" s="26" t="s">
        <v>58</v>
      </c>
      <c r="J23" s="26" t="s">
        <v>0</v>
      </c>
      <c r="Q23" s="4"/>
      <c r="S23" s="4"/>
    </row>
    <row r="24" spans="1:21" ht="15" customHeight="1" x14ac:dyDescent="0.25">
      <c r="A24" s="5"/>
      <c r="C24" t="s">
        <v>32</v>
      </c>
      <c r="D24" s="16">
        <v>1</v>
      </c>
      <c r="E24" s="22">
        <f>E13/30*$D$24</f>
        <v>600</v>
      </c>
      <c r="F24" s="22">
        <f>F13/30*$D$24</f>
        <v>400</v>
      </c>
      <c r="G24" s="22">
        <f>G13/30*$D$24</f>
        <v>533.33333333333337</v>
      </c>
      <c r="H24" s="22">
        <f>H13/30*$D$24</f>
        <v>600</v>
      </c>
      <c r="I24" s="22">
        <f>I13/30*$D$24</f>
        <v>833.33333333333337</v>
      </c>
      <c r="J24" s="7">
        <v>0</v>
      </c>
      <c r="Q24" s="4"/>
      <c r="S24" s="4"/>
    </row>
    <row r="25" spans="1:21" ht="15" customHeight="1" x14ac:dyDescent="0.25">
      <c r="A25" s="5"/>
      <c r="C25" t="s">
        <v>18</v>
      </c>
      <c r="D25" s="16">
        <v>1</v>
      </c>
      <c r="E25" s="22">
        <f t="shared" ref="E25:J25" si="2">E20*$D$25</f>
        <v>470</v>
      </c>
      <c r="F25" s="22">
        <f t="shared" si="2"/>
        <v>320</v>
      </c>
      <c r="G25" s="22">
        <f t="shared" si="2"/>
        <v>470</v>
      </c>
      <c r="H25" s="22">
        <f t="shared" si="2"/>
        <v>350</v>
      </c>
      <c r="I25" s="22">
        <f t="shared" si="2"/>
        <v>570</v>
      </c>
      <c r="J25" s="22">
        <f t="shared" si="2"/>
        <v>604</v>
      </c>
      <c r="Q25" s="4"/>
      <c r="S25" s="4"/>
    </row>
    <row r="26" spans="1:21" ht="15" customHeight="1" x14ac:dyDescent="0.25">
      <c r="A26" s="5"/>
      <c r="C26" t="s">
        <v>42</v>
      </c>
      <c r="D26" s="16">
        <v>1</v>
      </c>
      <c r="E26" s="22">
        <f>$D$26*$E$2/E9/E8*E7</f>
        <v>271.42857142857144</v>
      </c>
      <c r="F26" s="22">
        <f>$D$26*$E$2/F9/F8*F7</f>
        <v>240.08651766402306</v>
      </c>
      <c r="G26" s="22">
        <f>$D$26*$E$2/G9/G8*G7</f>
        <v>0</v>
      </c>
      <c r="H26" s="22">
        <f>$D$26*$E$2/H9/H8*H7</f>
        <v>0</v>
      </c>
      <c r="I26" s="22">
        <f>E26*1/3</f>
        <v>90.476190476190482</v>
      </c>
      <c r="J26" s="22">
        <f>$D$26*$E$2/J9/J8*J7</f>
        <v>0</v>
      </c>
      <c r="Q26" s="4"/>
      <c r="S26" s="4"/>
    </row>
    <row r="27" spans="1:21" ht="15" customHeight="1" x14ac:dyDescent="0.25">
      <c r="A27" s="5"/>
      <c r="C27" t="s">
        <v>43</v>
      </c>
      <c r="D27" s="16">
        <v>1</v>
      </c>
      <c r="E27" s="22">
        <f t="shared" ref="E27:J27" si="3">E11*$D$27</f>
        <v>3180.2721088435369</v>
      </c>
      <c r="F27" s="22">
        <f t="shared" si="3"/>
        <v>3354.9627493391008</v>
      </c>
      <c r="G27" s="22">
        <f t="shared" si="3"/>
        <v>2361.1111111111118</v>
      </c>
      <c r="H27" s="22">
        <f t="shared" si="3"/>
        <v>2751.4285714285716</v>
      </c>
      <c r="I27" s="22">
        <f t="shared" si="3"/>
        <v>2894.37641723356</v>
      </c>
      <c r="J27" s="22">
        <f t="shared" si="3"/>
        <v>1500</v>
      </c>
      <c r="Q27" s="4"/>
      <c r="S27" s="4"/>
    </row>
    <row r="28" spans="1:21" ht="15" customHeight="1" x14ac:dyDescent="0.25">
      <c r="A28" s="5"/>
      <c r="C28" s="9" t="s">
        <v>5</v>
      </c>
      <c r="E28" s="21">
        <f t="shared" ref="E28:J28" si="4">SUM(E24:E27)</f>
        <v>4521.700680272108</v>
      </c>
      <c r="F28" s="21">
        <f t="shared" si="4"/>
        <v>4315.0492670031235</v>
      </c>
      <c r="G28" s="21">
        <f t="shared" si="4"/>
        <v>3364.4444444444453</v>
      </c>
      <c r="H28" s="21">
        <f t="shared" si="4"/>
        <v>3701.4285714285716</v>
      </c>
      <c r="I28" s="21">
        <f t="shared" si="4"/>
        <v>4388.1859410430843</v>
      </c>
      <c r="J28" s="21">
        <f t="shared" si="4"/>
        <v>2104</v>
      </c>
      <c r="Q28" s="4"/>
      <c r="S28" s="4"/>
    </row>
    <row r="29" spans="1:21" s="5" customFormat="1" ht="37.5" customHeight="1" x14ac:dyDescent="0.25">
      <c r="B29"/>
      <c r="C29"/>
      <c r="D29" s="16"/>
      <c r="E29" s="12"/>
      <c r="F29" s="12"/>
      <c r="G29" s="12"/>
      <c r="H29" s="12"/>
      <c r="I29" s="12"/>
      <c r="J29" s="12"/>
    </row>
    <row r="30" spans="1:21" ht="15" customHeight="1" x14ac:dyDescent="0.25">
      <c r="A30" s="5"/>
      <c r="B30" s="9" t="s">
        <v>22</v>
      </c>
      <c r="C30" s="9"/>
      <c r="D30" s="12"/>
      <c r="E30" s="26" t="s">
        <v>26</v>
      </c>
      <c r="F30" s="26" t="s">
        <v>28</v>
      </c>
      <c r="G30" s="26" t="s">
        <v>27</v>
      </c>
      <c r="H30" s="26" t="s">
        <v>29</v>
      </c>
      <c r="I30" s="26" t="s">
        <v>58</v>
      </c>
      <c r="J30" s="26" t="s">
        <v>0</v>
      </c>
      <c r="O30" s="2"/>
      <c r="P30" s="1"/>
      <c r="Q30" s="1"/>
      <c r="U30" s="4"/>
    </row>
    <row r="31" spans="1:21" ht="15" customHeight="1" x14ac:dyDescent="0.25">
      <c r="B31" t="s">
        <v>23</v>
      </c>
      <c r="C31" s="14"/>
      <c r="E31" s="2">
        <f t="shared" ref="E31:G32" si="5">E$15+$C31*(E$25+E$26+E$27)</f>
        <v>18000</v>
      </c>
      <c r="F31" s="2">
        <f t="shared" si="5"/>
        <v>12000</v>
      </c>
      <c r="G31" s="2">
        <f t="shared" si="5"/>
        <v>16000</v>
      </c>
      <c r="H31" s="2">
        <f>$H$15+$H$11*C31+$H$20*C31</f>
        <v>18000</v>
      </c>
      <c r="I31" s="2">
        <f>I$15+$C31*(I$25+I$26+I$27)</f>
        <v>45000</v>
      </c>
      <c r="J31" s="2">
        <f t="shared" ref="I31:J33" si="6">J$15+$C31*(J$25+J$26+J$27)</f>
        <v>15000</v>
      </c>
      <c r="O31" s="1"/>
      <c r="P31" s="1"/>
      <c r="Q31" s="1"/>
    </row>
    <row r="32" spans="1:21" ht="15" customHeight="1" x14ac:dyDescent="0.25">
      <c r="C32" s="14">
        <v>1</v>
      </c>
      <c r="E32" s="2">
        <f t="shared" si="5"/>
        <v>21921.700680272108</v>
      </c>
      <c r="F32" s="2">
        <f t="shared" si="5"/>
        <v>15915.049267003124</v>
      </c>
      <c r="G32" s="2">
        <f t="shared" si="5"/>
        <v>18831.111111111113</v>
      </c>
      <c r="H32" s="2">
        <f>H$15+$C32*(H$25+H$26+H$27)</f>
        <v>21101.428571428572</v>
      </c>
      <c r="I32" s="2">
        <f t="shared" si="6"/>
        <v>48554.852607709749</v>
      </c>
      <c r="J32" s="2">
        <f t="shared" si="6"/>
        <v>17104</v>
      </c>
      <c r="L32" s="2"/>
      <c r="M32" s="2"/>
      <c r="O32" s="1"/>
      <c r="P32" s="1"/>
      <c r="Q32" s="1"/>
      <c r="S32" s="4"/>
    </row>
    <row r="33" spans="3:19" ht="15" customHeight="1" x14ac:dyDescent="0.25">
      <c r="C33" s="14">
        <v>2</v>
      </c>
      <c r="E33" s="2">
        <f t="shared" ref="E33:F61" si="7">E$15+$C33*(E$25+E$26+E$27)</f>
        <v>25843.401360544216</v>
      </c>
      <c r="F33" s="2">
        <f>F$15+$C33*(F$25+F$26+F$27)</f>
        <v>19830.098534006247</v>
      </c>
      <c r="G33" s="2">
        <f t="shared" ref="G33:J61" si="8">G$15+$C33*(G$25+G$26+G$27)</f>
        <v>21662.222222222223</v>
      </c>
      <c r="H33" s="2">
        <f t="shared" si="8"/>
        <v>24202.857142857145</v>
      </c>
      <c r="I33" s="2">
        <f t="shared" si="6"/>
        <v>52109.705215419497</v>
      </c>
      <c r="J33" s="2">
        <f t="shared" si="6"/>
        <v>19208</v>
      </c>
      <c r="L33" s="2"/>
      <c r="M33" s="2"/>
      <c r="O33" s="1"/>
      <c r="P33" s="1"/>
      <c r="Q33" s="1"/>
      <c r="S33" s="4"/>
    </row>
    <row r="34" spans="3:19" ht="15" customHeight="1" x14ac:dyDescent="0.25">
      <c r="C34" s="14">
        <v>3</v>
      </c>
      <c r="E34" s="2">
        <f t="shared" si="7"/>
        <v>29765.102040816324</v>
      </c>
      <c r="F34" s="2">
        <f t="shared" si="7"/>
        <v>23745.147801009371</v>
      </c>
      <c r="G34" s="2">
        <f t="shared" si="8"/>
        <v>24493.333333333336</v>
      </c>
      <c r="H34" s="2">
        <f t="shared" si="8"/>
        <v>27304.285714285714</v>
      </c>
      <c r="I34" s="2">
        <f t="shared" si="8"/>
        <v>55664.557823129253</v>
      </c>
      <c r="J34" s="2">
        <f>J$15+$C34*(J$25+J$26+J$27)</f>
        <v>21312</v>
      </c>
      <c r="L34" s="2"/>
      <c r="M34" s="2"/>
      <c r="O34" s="1"/>
      <c r="P34" s="1"/>
      <c r="Q34" s="1"/>
      <c r="S34" s="4"/>
    </row>
    <row r="35" spans="3:19" ht="15" customHeight="1" x14ac:dyDescent="0.25">
      <c r="C35" s="14">
        <v>4</v>
      </c>
      <c r="E35" s="2">
        <f t="shared" si="7"/>
        <v>33686.802721088432</v>
      </c>
      <c r="F35" s="2">
        <f t="shared" si="7"/>
        <v>27660.197068012494</v>
      </c>
      <c r="G35" s="2">
        <f t="shared" si="8"/>
        <v>27324.444444444445</v>
      </c>
      <c r="H35" s="2">
        <f t="shared" si="8"/>
        <v>30405.714285714286</v>
      </c>
      <c r="I35" s="2">
        <f t="shared" si="8"/>
        <v>59219.410430839001</v>
      </c>
      <c r="J35" s="2">
        <f t="shared" si="8"/>
        <v>23416</v>
      </c>
      <c r="L35" s="2"/>
      <c r="M35" s="2"/>
      <c r="O35" s="1"/>
      <c r="P35" s="1"/>
      <c r="Q35" s="1"/>
      <c r="S35" s="4"/>
    </row>
    <row r="36" spans="3:19" ht="15" customHeight="1" x14ac:dyDescent="0.25">
      <c r="C36" s="14">
        <v>5</v>
      </c>
      <c r="E36" s="2">
        <f t="shared" si="7"/>
        <v>37608.503401360547</v>
      </c>
      <c r="F36" s="2">
        <f t="shared" si="7"/>
        <v>31575.246335015621</v>
      </c>
      <c r="G36" s="2">
        <f t="shared" si="8"/>
        <v>30155.555555555558</v>
      </c>
      <c r="H36" s="2">
        <f t="shared" si="8"/>
        <v>33507.142857142855</v>
      </c>
      <c r="I36" s="2">
        <f t="shared" si="8"/>
        <v>62774.26303854875</v>
      </c>
      <c r="J36" s="2">
        <f t="shared" si="8"/>
        <v>25520</v>
      </c>
      <c r="L36" s="2"/>
      <c r="M36" s="2"/>
      <c r="O36" s="13"/>
      <c r="P36" s="1"/>
      <c r="Q36" s="1"/>
      <c r="R36" s="2"/>
      <c r="S36" s="4"/>
    </row>
    <row r="37" spans="3:19" ht="15" customHeight="1" x14ac:dyDescent="0.25">
      <c r="C37" s="14">
        <v>6</v>
      </c>
      <c r="E37" s="2">
        <f t="shared" si="7"/>
        <v>41530.204081632648</v>
      </c>
      <c r="F37" s="2">
        <f t="shared" si="7"/>
        <v>35490.295602018741</v>
      </c>
      <c r="G37" s="2">
        <f t="shared" si="8"/>
        <v>32986.666666666672</v>
      </c>
      <c r="H37" s="2">
        <f t="shared" si="8"/>
        <v>36608.571428571428</v>
      </c>
      <c r="I37" s="2">
        <f t="shared" si="8"/>
        <v>66329.115646258506</v>
      </c>
      <c r="J37" s="2">
        <f t="shared" si="8"/>
        <v>27624</v>
      </c>
      <c r="L37" s="2"/>
      <c r="M37" s="2"/>
      <c r="O37" s="2"/>
      <c r="P37" s="2"/>
      <c r="Q37" s="2"/>
      <c r="R37" s="2"/>
      <c r="S37" s="4"/>
    </row>
    <row r="38" spans="3:19" ht="15" customHeight="1" x14ac:dyDescent="0.25">
      <c r="C38" s="14">
        <v>7</v>
      </c>
      <c r="E38" s="2">
        <f t="shared" si="7"/>
        <v>45451.904761904763</v>
      </c>
      <c r="F38" s="2">
        <f t="shared" si="7"/>
        <v>39405.344869021865</v>
      </c>
      <c r="G38" s="2">
        <f t="shared" si="8"/>
        <v>35817.777777777781</v>
      </c>
      <c r="H38" s="2">
        <f t="shared" si="8"/>
        <v>39710</v>
      </c>
      <c r="I38" s="2">
        <f t="shared" si="8"/>
        <v>69883.968253968254</v>
      </c>
      <c r="J38" s="2">
        <f t="shared" si="8"/>
        <v>29728</v>
      </c>
      <c r="L38" s="2"/>
      <c r="M38" s="2"/>
      <c r="O38" s="2"/>
      <c r="P38" s="2"/>
      <c r="Q38" s="2"/>
      <c r="R38" s="2"/>
      <c r="S38" s="4"/>
    </row>
    <row r="39" spans="3:19" ht="15" customHeight="1" x14ac:dyDescent="0.25">
      <c r="C39" s="14">
        <v>8</v>
      </c>
      <c r="E39" s="2">
        <f t="shared" si="7"/>
        <v>49373.605442176864</v>
      </c>
      <c r="F39" s="2">
        <f t="shared" si="7"/>
        <v>43320.394136024988</v>
      </c>
      <c r="G39" s="2">
        <f t="shared" si="8"/>
        <v>38648.888888888891</v>
      </c>
      <c r="H39" s="2">
        <f t="shared" si="8"/>
        <v>42811.428571428572</v>
      </c>
      <c r="I39" s="2">
        <f t="shared" si="8"/>
        <v>73438.820861678003</v>
      </c>
      <c r="J39" s="2">
        <f t="shared" si="8"/>
        <v>31832</v>
      </c>
      <c r="L39" s="2"/>
      <c r="M39" s="2"/>
      <c r="O39" s="2"/>
      <c r="P39" s="2"/>
      <c r="Q39" s="2"/>
      <c r="R39" s="2"/>
      <c r="S39" s="4"/>
    </row>
    <row r="40" spans="3:19" ht="15" customHeight="1" x14ac:dyDescent="0.25">
      <c r="C40" s="14">
        <v>9</v>
      </c>
      <c r="E40" s="2">
        <f t="shared" si="7"/>
        <v>53295.306122448979</v>
      </c>
      <c r="F40" s="2">
        <f t="shared" si="7"/>
        <v>47235.443403028119</v>
      </c>
      <c r="G40" s="2">
        <f t="shared" si="8"/>
        <v>41480.000000000007</v>
      </c>
      <c r="H40" s="2">
        <f t="shared" si="8"/>
        <v>45912.857142857145</v>
      </c>
      <c r="I40" s="2">
        <f t="shared" si="8"/>
        <v>76993.673469387752</v>
      </c>
      <c r="J40" s="2">
        <f t="shared" si="8"/>
        <v>33936</v>
      </c>
      <c r="L40" s="2"/>
      <c r="M40" s="2"/>
      <c r="O40" s="2"/>
      <c r="P40" s="2"/>
      <c r="Q40" s="2"/>
      <c r="R40" s="2"/>
      <c r="S40" s="4"/>
    </row>
    <row r="41" spans="3:19" ht="15" customHeight="1" x14ac:dyDescent="0.25">
      <c r="C41" s="14">
        <v>10</v>
      </c>
      <c r="E41" s="2">
        <f t="shared" si="7"/>
        <v>57217.006802721087</v>
      </c>
      <c r="F41" s="2">
        <f t="shared" si="7"/>
        <v>51150.492670031243</v>
      </c>
      <c r="G41" s="2">
        <f t="shared" si="8"/>
        <v>44311.111111111117</v>
      </c>
      <c r="H41" s="2">
        <f t="shared" si="8"/>
        <v>49014.285714285717</v>
      </c>
      <c r="I41" s="2">
        <f t="shared" si="8"/>
        <v>80548.5260770975</v>
      </c>
      <c r="J41" s="2">
        <f t="shared" si="8"/>
        <v>36040</v>
      </c>
      <c r="K41" s="3"/>
      <c r="L41" s="2"/>
      <c r="M41" s="2"/>
      <c r="O41" s="2"/>
      <c r="P41" s="2"/>
      <c r="Q41" s="2"/>
      <c r="R41" s="2"/>
      <c r="S41" s="4"/>
    </row>
    <row r="42" spans="3:19" ht="15" customHeight="1" x14ac:dyDescent="0.25">
      <c r="C42" s="14">
        <v>11</v>
      </c>
      <c r="E42" s="2">
        <f t="shared" si="7"/>
        <v>61138.707482993195</v>
      </c>
      <c r="F42" s="2">
        <f t="shared" si="7"/>
        <v>55065.541937034366</v>
      </c>
      <c r="G42" s="2">
        <f t="shared" si="8"/>
        <v>47142.222222222234</v>
      </c>
      <c r="H42" s="2">
        <f t="shared" si="8"/>
        <v>52115.71428571429</v>
      </c>
      <c r="I42" s="2">
        <f t="shared" si="8"/>
        <v>84103.378684807249</v>
      </c>
      <c r="J42" s="2">
        <f t="shared" si="8"/>
        <v>38144</v>
      </c>
      <c r="L42" s="2"/>
      <c r="M42" s="2"/>
      <c r="O42" s="2"/>
      <c r="P42" s="2"/>
      <c r="Q42" s="2"/>
      <c r="R42" s="2"/>
      <c r="S42" s="4"/>
    </row>
    <row r="43" spans="3:19" ht="15" customHeight="1" x14ac:dyDescent="0.25">
      <c r="C43" s="14">
        <v>12</v>
      </c>
      <c r="E43" s="2">
        <f t="shared" si="7"/>
        <v>65060.408163265303</v>
      </c>
      <c r="F43" s="2">
        <f t="shared" si="7"/>
        <v>58980.59120403749</v>
      </c>
      <c r="G43" s="2">
        <f t="shared" si="8"/>
        <v>49973.333333333343</v>
      </c>
      <c r="H43" s="2">
        <f t="shared" si="8"/>
        <v>55217.142857142855</v>
      </c>
      <c r="I43" s="2">
        <f t="shared" si="8"/>
        <v>87658.231292517012</v>
      </c>
      <c r="J43" s="2">
        <f t="shared" si="8"/>
        <v>40248</v>
      </c>
      <c r="L43" s="2"/>
      <c r="M43" s="2"/>
      <c r="O43" s="2"/>
      <c r="P43" s="2"/>
      <c r="Q43" s="2"/>
      <c r="R43" s="2"/>
      <c r="S43" s="4"/>
    </row>
    <row r="44" spans="3:19" ht="15" customHeight="1" x14ac:dyDescent="0.25">
      <c r="C44" s="14">
        <v>13</v>
      </c>
      <c r="E44" s="2">
        <f t="shared" si="7"/>
        <v>68982.108843537411</v>
      </c>
      <c r="F44" s="2">
        <f t="shared" si="7"/>
        <v>62895.640471040613</v>
      </c>
      <c r="G44" s="2">
        <f t="shared" si="8"/>
        <v>52804.444444444453</v>
      </c>
      <c r="H44" s="2">
        <f t="shared" si="8"/>
        <v>58318.571428571428</v>
      </c>
      <c r="I44" s="2">
        <f t="shared" si="8"/>
        <v>91213.083900226746</v>
      </c>
      <c r="J44" s="2">
        <f t="shared" si="8"/>
        <v>42352</v>
      </c>
      <c r="L44" s="2"/>
      <c r="M44" s="2"/>
      <c r="O44" s="2"/>
      <c r="P44" s="2"/>
      <c r="Q44" s="2"/>
      <c r="R44" s="2"/>
      <c r="S44" s="4"/>
    </row>
    <row r="45" spans="3:19" ht="15" customHeight="1" x14ac:dyDescent="0.25">
      <c r="C45" s="14">
        <v>14</v>
      </c>
      <c r="E45" s="2">
        <f t="shared" si="7"/>
        <v>72903.809523809527</v>
      </c>
      <c r="F45" s="2">
        <f t="shared" si="7"/>
        <v>66810.689738043729</v>
      </c>
      <c r="G45" s="2">
        <f t="shared" si="8"/>
        <v>55635.555555555562</v>
      </c>
      <c r="H45" s="2">
        <f t="shared" si="8"/>
        <v>61420</v>
      </c>
      <c r="I45" s="2">
        <f t="shared" si="8"/>
        <v>94767.936507936509</v>
      </c>
      <c r="J45" s="2">
        <f t="shared" si="8"/>
        <v>44456</v>
      </c>
      <c r="L45" s="2"/>
      <c r="M45" s="2"/>
      <c r="O45" s="2"/>
      <c r="P45" s="2"/>
      <c r="Q45" s="2"/>
      <c r="R45" s="2"/>
      <c r="S45" s="4"/>
    </row>
    <row r="46" spans="3:19" ht="15" customHeight="1" x14ac:dyDescent="0.25">
      <c r="C46" s="14">
        <v>15</v>
      </c>
      <c r="E46" s="2">
        <f t="shared" si="7"/>
        <v>76825.510204081627</v>
      </c>
      <c r="F46" s="2">
        <f t="shared" si="7"/>
        <v>70725.739005046868</v>
      </c>
      <c r="G46" s="2">
        <f t="shared" si="8"/>
        <v>58466.666666666679</v>
      </c>
      <c r="H46" s="2">
        <f t="shared" si="8"/>
        <v>64521.428571428572</v>
      </c>
      <c r="I46" s="2">
        <f t="shared" si="8"/>
        <v>98322.789115646257</v>
      </c>
      <c r="J46" s="2">
        <f t="shared" si="8"/>
        <v>46560</v>
      </c>
      <c r="L46" s="2"/>
      <c r="M46" s="2"/>
      <c r="O46" s="2"/>
      <c r="P46" s="2"/>
      <c r="Q46" s="2"/>
      <c r="R46" s="2"/>
      <c r="S46" s="4"/>
    </row>
    <row r="47" spans="3:19" ht="15" customHeight="1" x14ac:dyDescent="0.25">
      <c r="C47" s="14">
        <v>16</v>
      </c>
      <c r="E47" s="2">
        <f t="shared" si="7"/>
        <v>80747.210884353728</v>
      </c>
      <c r="F47" s="2">
        <f t="shared" si="7"/>
        <v>74640.788272049977</v>
      </c>
      <c r="G47" s="2">
        <f t="shared" si="8"/>
        <v>61297.777777777788</v>
      </c>
      <c r="H47" s="2">
        <f t="shared" si="8"/>
        <v>67622.857142857145</v>
      </c>
      <c r="I47" s="2">
        <f t="shared" si="8"/>
        <v>101877.64172335601</v>
      </c>
      <c r="J47" s="2">
        <f t="shared" si="8"/>
        <v>48664</v>
      </c>
      <c r="L47" s="2"/>
      <c r="M47" s="2"/>
      <c r="O47" s="2"/>
      <c r="P47" s="2"/>
      <c r="Q47" s="2"/>
      <c r="R47" s="2"/>
      <c r="S47" s="4"/>
    </row>
    <row r="48" spans="3:19" ht="15" customHeight="1" x14ac:dyDescent="0.25">
      <c r="C48" s="14">
        <v>17</v>
      </c>
      <c r="E48" s="2">
        <f t="shared" si="7"/>
        <v>84668.911564625843</v>
      </c>
      <c r="F48" s="2">
        <f t="shared" si="7"/>
        <v>78555.837539053115</v>
      </c>
      <c r="G48" s="2">
        <f t="shared" si="8"/>
        <v>64128.888888888898</v>
      </c>
      <c r="H48" s="2">
        <f t="shared" si="8"/>
        <v>70724.28571428571</v>
      </c>
      <c r="I48" s="2">
        <f t="shared" si="8"/>
        <v>105432.49433106575</v>
      </c>
      <c r="J48" s="2">
        <f t="shared" si="8"/>
        <v>50768</v>
      </c>
      <c r="L48" s="2"/>
      <c r="M48" s="2"/>
      <c r="O48" s="2"/>
      <c r="P48" s="2"/>
      <c r="Q48" s="2"/>
      <c r="R48" s="2"/>
      <c r="S48" s="4"/>
    </row>
    <row r="49" spans="3:19" ht="15" customHeight="1" x14ac:dyDescent="0.25">
      <c r="C49" s="14">
        <v>18</v>
      </c>
      <c r="E49" s="2">
        <f t="shared" si="7"/>
        <v>88590.612244897959</v>
      </c>
      <c r="F49" s="2">
        <f t="shared" si="7"/>
        <v>82470.886806056238</v>
      </c>
      <c r="G49" s="2">
        <f t="shared" si="8"/>
        <v>66960.000000000015</v>
      </c>
      <c r="H49" s="2">
        <f t="shared" si="8"/>
        <v>73825.71428571429</v>
      </c>
      <c r="I49" s="2">
        <f t="shared" si="8"/>
        <v>108987.3469387755</v>
      </c>
      <c r="J49" s="2">
        <f t="shared" si="8"/>
        <v>52872</v>
      </c>
      <c r="L49" s="2"/>
      <c r="M49" s="2"/>
      <c r="O49" s="2"/>
      <c r="P49" s="2"/>
      <c r="Q49" s="2"/>
      <c r="R49" s="2"/>
      <c r="S49" s="4"/>
    </row>
    <row r="50" spans="3:19" ht="15" customHeight="1" x14ac:dyDescent="0.25">
      <c r="C50" s="14">
        <v>19</v>
      </c>
      <c r="E50" s="2">
        <f t="shared" si="7"/>
        <v>92512.312925170059</v>
      </c>
      <c r="F50" s="2">
        <f t="shared" si="7"/>
        <v>86385.936073059362</v>
      </c>
      <c r="G50" s="2">
        <f t="shared" si="8"/>
        <v>69791.111111111124</v>
      </c>
      <c r="H50" s="2">
        <f t="shared" si="8"/>
        <v>76927.14285714287</v>
      </c>
      <c r="I50" s="2">
        <f t="shared" si="8"/>
        <v>112542.19954648525</v>
      </c>
      <c r="J50" s="2">
        <f t="shared" si="8"/>
        <v>54976</v>
      </c>
      <c r="L50" s="2"/>
      <c r="M50" s="2"/>
      <c r="O50" s="2"/>
      <c r="P50" s="2"/>
      <c r="Q50" s="2"/>
      <c r="R50" s="2"/>
      <c r="S50" s="4"/>
    </row>
    <row r="51" spans="3:19" ht="15" customHeight="1" x14ac:dyDescent="0.25">
      <c r="C51" s="14">
        <v>20</v>
      </c>
      <c r="E51" s="2">
        <f t="shared" si="7"/>
        <v>96434.013605442175</v>
      </c>
      <c r="F51" s="2">
        <f t="shared" si="7"/>
        <v>90300.985340062485</v>
      </c>
      <c r="G51" s="2">
        <f t="shared" si="8"/>
        <v>72622.222222222234</v>
      </c>
      <c r="H51" s="2">
        <f t="shared" si="8"/>
        <v>80028.571428571435</v>
      </c>
      <c r="I51" s="2">
        <f t="shared" si="8"/>
        <v>116097.052154195</v>
      </c>
      <c r="J51" s="2">
        <f t="shared" si="8"/>
        <v>57080</v>
      </c>
      <c r="L51" s="2"/>
      <c r="M51" s="2"/>
      <c r="O51" s="2"/>
      <c r="P51" s="2"/>
      <c r="Q51" s="2"/>
      <c r="R51" s="2"/>
      <c r="S51" s="4"/>
    </row>
    <row r="52" spans="3:19" ht="15" customHeight="1" x14ac:dyDescent="0.25">
      <c r="C52" s="14">
        <v>21</v>
      </c>
      <c r="E52" s="2">
        <f t="shared" si="7"/>
        <v>100355.71428571428</v>
      </c>
      <c r="F52" s="2">
        <f>F$15+$C52*(F$25+F$26+F$27)</f>
        <v>94216.034607065609</v>
      </c>
      <c r="G52" s="2">
        <f t="shared" si="8"/>
        <v>75453.333333333343</v>
      </c>
      <c r="H52" s="2">
        <f t="shared" si="8"/>
        <v>83130</v>
      </c>
      <c r="I52" s="2">
        <f t="shared" si="8"/>
        <v>119651.90476190476</v>
      </c>
      <c r="J52" s="2">
        <f t="shared" si="8"/>
        <v>59184</v>
      </c>
      <c r="L52" s="2"/>
      <c r="M52" s="2"/>
      <c r="O52" s="2"/>
      <c r="P52" s="2"/>
      <c r="Q52" s="2"/>
      <c r="R52" s="2"/>
      <c r="S52" s="4"/>
    </row>
    <row r="53" spans="3:19" ht="15" customHeight="1" x14ac:dyDescent="0.25">
      <c r="C53" s="14">
        <v>22</v>
      </c>
      <c r="E53" s="2">
        <f t="shared" si="7"/>
        <v>104277.41496598639</v>
      </c>
      <c r="F53" s="2">
        <f>F$15+$C53*(F$25+F$26+F$27)</f>
        <v>98131.083874068732</v>
      </c>
      <c r="G53" s="2">
        <f t="shared" si="8"/>
        <v>78284.444444444467</v>
      </c>
      <c r="H53" s="2">
        <f t="shared" si="8"/>
        <v>86231.42857142858</v>
      </c>
      <c r="I53" s="2">
        <f t="shared" si="8"/>
        <v>123206.75736961451</v>
      </c>
      <c r="J53" s="2">
        <f t="shared" si="8"/>
        <v>61288</v>
      </c>
      <c r="L53" s="2"/>
      <c r="M53" s="2"/>
      <c r="O53" s="2"/>
      <c r="P53" s="2"/>
      <c r="Q53" s="2"/>
      <c r="R53" s="2"/>
      <c r="S53" s="4"/>
    </row>
    <row r="54" spans="3:19" ht="15" customHeight="1" x14ac:dyDescent="0.25">
      <c r="C54" s="14">
        <v>23</v>
      </c>
      <c r="E54" s="2">
        <f t="shared" si="7"/>
        <v>108199.11564625849</v>
      </c>
      <c r="F54" s="2">
        <f>F$15+$C54*(F$25+F$26+F$27)</f>
        <v>102046.13314107186</v>
      </c>
      <c r="G54" s="2">
        <f t="shared" si="8"/>
        <v>81115.555555555562</v>
      </c>
      <c r="H54" s="2">
        <f t="shared" si="8"/>
        <v>89332.857142857145</v>
      </c>
      <c r="I54" s="2">
        <f t="shared" si="8"/>
        <v>126761.60997732426</v>
      </c>
      <c r="J54" s="2">
        <f t="shared" si="8"/>
        <v>63392</v>
      </c>
      <c r="L54" s="2"/>
      <c r="M54" s="2"/>
      <c r="O54" s="2"/>
      <c r="P54" s="2"/>
      <c r="Q54" s="2"/>
      <c r="R54" s="2"/>
      <c r="S54" s="4"/>
    </row>
    <row r="55" spans="3:19" ht="15" customHeight="1" x14ac:dyDescent="0.25">
      <c r="C55" s="14">
        <v>24</v>
      </c>
      <c r="E55" s="2">
        <f t="shared" si="7"/>
        <v>112120.81632653061</v>
      </c>
      <c r="F55" s="2">
        <f t="shared" si="7"/>
        <v>105961.18240807498</v>
      </c>
      <c r="G55" s="2">
        <f t="shared" si="8"/>
        <v>83946.666666666686</v>
      </c>
      <c r="H55" s="2">
        <f t="shared" si="8"/>
        <v>92434.28571428571</v>
      </c>
      <c r="I55" s="2">
        <f t="shared" si="8"/>
        <v>130316.46258503401</v>
      </c>
      <c r="J55" s="2">
        <f t="shared" si="8"/>
        <v>65496</v>
      </c>
      <c r="L55" s="2"/>
      <c r="M55" s="2"/>
      <c r="O55" s="2"/>
      <c r="P55" s="2"/>
      <c r="Q55" s="2"/>
      <c r="R55" s="2"/>
      <c r="S55" s="4"/>
    </row>
    <row r="56" spans="3:19" ht="15" customHeight="1" x14ac:dyDescent="0.25">
      <c r="C56" s="14">
        <v>25</v>
      </c>
      <c r="E56" s="2">
        <f t="shared" si="7"/>
        <v>116042.51700680271</v>
      </c>
      <c r="F56" s="2">
        <f t="shared" si="7"/>
        <v>109876.2316750781</v>
      </c>
      <c r="G56" s="2">
        <f t="shared" si="8"/>
        <v>86777.777777777796</v>
      </c>
      <c r="H56" s="2">
        <f t="shared" si="8"/>
        <v>95535.71428571429</v>
      </c>
      <c r="I56" s="2">
        <f t="shared" si="8"/>
        <v>133871.31519274376</v>
      </c>
      <c r="J56" s="2">
        <f t="shared" si="8"/>
        <v>67600</v>
      </c>
      <c r="L56" s="2"/>
      <c r="M56" s="2"/>
      <c r="O56" s="2"/>
      <c r="P56" s="2"/>
      <c r="Q56" s="2"/>
      <c r="R56" s="2"/>
      <c r="S56" s="4"/>
    </row>
    <row r="57" spans="3:19" ht="15" customHeight="1" x14ac:dyDescent="0.25">
      <c r="C57" s="14">
        <v>26</v>
      </c>
      <c r="E57" s="2">
        <f t="shared" si="7"/>
        <v>119964.21768707482</v>
      </c>
      <c r="F57" s="2">
        <f t="shared" si="7"/>
        <v>113791.28094208123</v>
      </c>
      <c r="G57" s="2">
        <f t="shared" si="8"/>
        <v>89608.888888888905</v>
      </c>
      <c r="H57" s="2">
        <f t="shared" si="8"/>
        <v>98637.142857142855</v>
      </c>
      <c r="I57" s="2">
        <f t="shared" si="8"/>
        <v>137426.16780045349</v>
      </c>
      <c r="J57" s="2">
        <f t="shared" si="8"/>
        <v>69704</v>
      </c>
      <c r="L57" s="2"/>
      <c r="M57" s="2"/>
      <c r="O57" s="2"/>
      <c r="P57" s="2"/>
      <c r="Q57" s="2"/>
      <c r="R57" s="2"/>
      <c r="S57" s="4"/>
    </row>
    <row r="58" spans="3:19" ht="15" customHeight="1" x14ac:dyDescent="0.25">
      <c r="C58" s="14">
        <v>27</v>
      </c>
      <c r="E58" s="2">
        <f t="shared" si="7"/>
        <v>123885.91836734692</v>
      </c>
      <c r="F58" s="2">
        <f t="shared" si="7"/>
        <v>117706.33020908435</v>
      </c>
      <c r="G58" s="2">
        <f t="shared" si="8"/>
        <v>92440.000000000015</v>
      </c>
      <c r="H58" s="2">
        <f t="shared" si="8"/>
        <v>101738.57142857143</v>
      </c>
      <c r="I58" s="2">
        <f t="shared" si="8"/>
        <v>140981.02040816325</v>
      </c>
      <c r="J58" s="2">
        <f t="shared" si="8"/>
        <v>71808</v>
      </c>
      <c r="L58" s="2"/>
      <c r="M58" s="2"/>
      <c r="O58" s="2"/>
      <c r="P58" s="2"/>
      <c r="Q58" s="2"/>
      <c r="R58" s="2"/>
      <c r="S58" s="4"/>
    </row>
    <row r="59" spans="3:19" ht="15" customHeight="1" x14ac:dyDescent="0.25">
      <c r="C59" s="14">
        <v>28</v>
      </c>
      <c r="E59" s="2">
        <f t="shared" si="7"/>
        <v>127807.61904761904</v>
      </c>
      <c r="F59" s="2">
        <f t="shared" si="7"/>
        <v>121621.37947608747</v>
      </c>
      <c r="G59" s="2">
        <f t="shared" si="8"/>
        <v>95271.111111111124</v>
      </c>
      <c r="H59" s="2">
        <f t="shared" si="8"/>
        <v>104840</v>
      </c>
      <c r="I59" s="2">
        <f t="shared" si="8"/>
        <v>144535.87301587302</v>
      </c>
      <c r="J59" s="2">
        <f t="shared" si="8"/>
        <v>73912</v>
      </c>
      <c r="L59" s="2"/>
      <c r="M59" s="2"/>
      <c r="O59" s="2"/>
      <c r="P59" s="2"/>
      <c r="Q59" s="2"/>
      <c r="R59" s="2"/>
      <c r="S59" s="4"/>
    </row>
    <row r="60" spans="3:19" ht="15" customHeight="1" x14ac:dyDescent="0.25">
      <c r="C60" s="14">
        <v>29</v>
      </c>
      <c r="E60" s="2">
        <f t="shared" si="7"/>
        <v>131729.31972789112</v>
      </c>
      <c r="F60" s="2">
        <f t="shared" si="7"/>
        <v>125536.4287430906</v>
      </c>
      <c r="G60" s="2">
        <f t="shared" si="8"/>
        <v>98102.222222222248</v>
      </c>
      <c r="H60" s="2">
        <f t="shared" si="8"/>
        <v>107941.42857142858</v>
      </c>
      <c r="I60" s="2">
        <f t="shared" si="8"/>
        <v>148090.72562358278</v>
      </c>
      <c r="J60" s="2">
        <f t="shared" si="8"/>
        <v>76016</v>
      </c>
      <c r="L60" s="2"/>
      <c r="M60" s="2"/>
      <c r="O60" s="2"/>
      <c r="P60" s="2"/>
      <c r="Q60" s="2"/>
      <c r="R60" s="2"/>
      <c r="S60" s="4"/>
    </row>
    <row r="61" spans="3:19" ht="15" customHeight="1" x14ac:dyDescent="0.25">
      <c r="C61" s="14">
        <v>30</v>
      </c>
      <c r="E61" s="2">
        <f t="shared" si="7"/>
        <v>135651.02040816325</v>
      </c>
      <c r="F61" s="2">
        <f t="shared" si="7"/>
        <v>129451.47801009372</v>
      </c>
      <c r="G61" s="2">
        <f t="shared" si="8"/>
        <v>100933.33333333336</v>
      </c>
      <c r="H61" s="2">
        <f t="shared" si="8"/>
        <v>111042.85714285714</v>
      </c>
      <c r="I61" s="2">
        <f t="shared" si="8"/>
        <v>151645.57823129251</v>
      </c>
      <c r="J61" s="2">
        <f t="shared" si="8"/>
        <v>78120</v>
      </c>
      <c r="M61" s="3"/>
      <c r="O61" s="2"/>
      <c r="P61" s="2"/>
      <c r="Q61" s="2"/>
      <c r="R61" s="2"/>
      <c r="S61" s="4"/>
    </row>
    <row r="62" spans="3:19" ht="15" customHeight="1" x14ac:dyDescent="0.25">
      <c r="M62" s="3"/>
      <c r="O62" s="2"/>
      <c r="P62" s="2"/>
      <c r="Q62" s="2"/>
      <c r="R62" s="2"/>
    </row>
    <row r="63" spans="3:19" ht="15" customHeight="1" x14ac:dyDescent="0.25">
      <c r="M63" s="3"/>
      <c r="O63" s="2"/>
      <c r="P63" s="2"/>
      <c r="Q63" s="2"/>
      <c r="R63" s="2"/>
    </row>
    <row r="64" spans="3:19" ht="15" customHeight="1" x14ac:dyDescent="0.25">
      <c r="M64" s="3"/>
      <c r="O64" s="2"/>
      <c r="P64" s="2"/>
      <c r="Q64" s="2"/>
      <c r="R64" s="2"/>
    </row>
    <row r="65" spans="13:18" ht="15" customHeight="1" x14ac:dyDescent="0.25">
      <c r="M65" s="3"/>
      <c r="O65" s="2"/>
      <c r="P65" s="2"/>
      <c r="Q65" s="2"/>
      <c r="R65" s="2"/>
    </row>
    <row r="66" spans="13:18" ht="15" customHeight="1" x14ac:dyDescent="0.25">
      <c r="M66" s="3"/>
      <c r="O66" s="2"/>
      <c r="P66" s="2"/>
      <c r="Q66" s="2"/>
      <c r="R66" s="2"/>
    </row>
    <row r="67" spans="13:18" ht="15" customHeight="1" x14ac:dyDescent="0.25">
      <c r="R67" s="2"/>
    </row>
    <row r="68" spans="13:18" ht="15" customHeight="1" x14ac:dyDescent="0.25">
      <c r="R68" s="2"/>
    </row>
    <row r="69" spans="13:18" ht="15" customHeight="1" x14ac:dyDescent="0.25">
      <c r="R69" s="2"/>
    </row>
    <row r="70" spans="13:18" ht="15" customHeight="1" x14ac:dyDescent="0.25"/>
    <row r="71" spans="13:18" ht="15" customHeight="1" x14ac:dyDescent="0.25"/>
    <row r="72" spans="13:18" ht="15" customHeight="1" x14ac:dyDescent="0.25"/>
    <row r="73" spans="13:18" ht="15" customHeight="1" x14ac:dyDescent="0.25"/>
    <row r="74" spans="13:18" ht="15" customHeight="1" x14ac:dyDescent="0.25"/>
  </sheetData>
  <phoneticPr fontId="5" type="noConversion"/>
  <pageMargins left="0.7" right="0.7" top="0.75" bottom="0.75" header="0.3" footer="0.3"/>
  <pageSetup paperSize="9" orientation="portrait" horizontalDpi="0" verticalDpi="0" r:id="rId1"/>
  <customProperties>
    <customPr name="_pios_id" r:id="rId2"/>
  </customProperties>
  <ignoredErrors>
    <ignoredError sqref="I11 H3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6FDA-6CF3-4D70-AD16-55002424F2B3}">
  <dimension ref="A1:G19"/>
  <sheetViews>
    <sheetView workbookViewId="0">
      <selection activeCell="G13" sqref="G13"/>
    </sheetView>
  </sheetViews>
  <sheetFormatPr defaultRowHeight="15" x14ac:dyDescent="0.25"/>
  <cols>
    <col min="1" max="1" width="22.28515625" customWidth="1"/>
    <col min="2" max="2" width="58.140625" customWidth="1"/>
    <col min="3" max="7" width="14.7109375" customWidth="1"/>
  </cols>
  <sheetData>
    <row r="1" spans="1:7" ht="17.25" x14ac:dyDescent="0.25">
      <c r="A1" s="32" t="s">
        <v>55</v>
      </c>
    </row>
    <row r="3" spans="1:7" x14ac:dyDescent="0.25">
      <c r="A3" t="s">
        <v>49</v>
      </c>
      <c r="B3" s="30">
        <v>0.93500000000000005</v>
      </c>
    </row>
    <row r="4" spans="1:7" x14ac:dyDescent="0.25">
      <c r="A4" t="s">
        <v>48</v>
      </c>
      <c r="B4" s="30">
        <v>0.69799999999999995</v>
      </c>
    </row>
    <row r="5" spans="1:7" x14ac:dyDescent="0.25">
      <c r="A5" t="s">
        <v>50</v>
      </c>
      <c r="B5" s="30">
        <v>6.25E-2</v>
      </c>
    </row>
    <row r="7" spans="1:7" x14ac:dyDescent="0.25">
      <c r="A7" s="5" t="s">
        <v>36</v>
      </c>
      <c r="B7" s="5" t="s">
        <v>37</v>
      </c>
      <c r="C7" s="17" t="s">
        <v>26</v>
      </c>
      <c r="D7" s="17" t="s">
        <v>35</v>
      </c>
      <c r="E7" s="17" t="s">
        <v>56</v>
      </c>
      <c r="F7" s="34" t="s">
        <v>51</v>
      </c>
      <c r="G7" s="17" t="s">
        <v>0</v>
      </c>
    </row>
    <row r="8" spans="1:7" ht="15.75" x14ac:dyDescent="0.25">
      <c r="A8" t="s">
        <v>8</v>
      </c>
      <c r="B8" s="28" t="s">
        <v>38</v>
      </c>
      <c r="C8" s="1">
        <v>18000</v>
      </c>
      <c r="D8" s="1">
        <v>12000</v>
      </c>
      <c r="E8" s="1">
        <v>16000</v>
      </c>
      <c r="F8" s="1">
        <v>25000</v>
      </c>
      <c r="G8" s="1">
        <v>15000</v>
      </c>
    </row>
    <row r="9" spans="1:7" ht="15.75" x14ac:dyDescent="0.25">
      <c r="A9" t="s">
        <v>41</v>
      </c>
      <c r="B9" s="28"/>
      <c r="C9" s="1">
        <v>0</v>
      </c>
      <c r="D9" s="1">
        <v>0</v>
      </c>
      <c r="E9" s="1"/>
      <c r="F9" s="1">
        <v>0</v>
      </c>
      <c r="G9" s="1">
        <v>5000</v>
      </c>
    </row>
    <row r="10" spans="1:7" ht="15.75" x14ac:dyDescent="0.25">
      <c r="A10" t="s">
        <v>39</v>
      </c>
      <c r="B10" s="28" t="s">
        <v>52</v>
      </c>
      <c r="C10" s="1">
        <f>30*350</f>
        <v>10500</v>
      </c>
      <c r="D10" s="1">
        <f>30*200</f>
        <v>6000</v>
      </c>
      <c r="E10" s="1">
        <f>30*350</f>
        <v>10500</v>
      </c>
      <c r="F10" s="1">
        <f>30*450</f>
        <v>13500</v>
      </c>
      <c r="G10" s="1">
        <v>0</v>
      </c>
    </row>
    <row r="11" spans="1:7" ht="15.75" x14ac:dyDescent="0.25">
      <c r="A11" t="s">
        <v>30</v>
      </c>
      <c r="B11" s="28" t="s">
        <v>53</v>
      </c>
      <c r="C11" s="1">
        <f>120*30</f>
        <v>3600</v>
      </c>
      <c r="D11" s="1">
        <f>120*30</f>
        <v>3600</v>
      </c>
      <c r="E11" s="1"/>
      <c r="F11" s="1">
        <f>120*30</f>
        <v>3600</v>
      </c>
      <c r="G11" s="1">
        <v>0</v>
      </c>
    </row>
    <row r="12" spans="1:7" ht="15.75" x14ac:dyDescent="0.25">
      <c r="A12" t="s">
        <v>40</v>
      </c>
      <c r="B12" s="29" t="s">
        <v>54</v>
      </c>
      <c r="C12" s="1"/>
      <c r="D12" s="1"/>
      <c r="E12" s="1"/>
      <c r="F12" s="1"/>
      <c r="G12" s="1">
        <f>252*30</f>
        <v>7560</v>
      </c>
    </row>
    <row r="13" spans="1:7" ht="15.75" x14ac:dyDescent="0.25">
      <c r="A13" s="28" t="s">
        <v>19</v>
      </c>
      <c r="B13" s="28"/>
      <c r="C13" s="1">
        <f>B3/9.8*20000*30/0.9</f>
        <v>63605.44217687074</v>
      </c>
      <c r="D13" s="1">
        <f>B4/6.57*20000*30/0.95</f>
        <v>67099.25498678202</v>
      </c>
      <c r="E13" s="1">
        <f>30*'Vergleich dynamisch'!H11</f>
        <v>82542.857142857145</v>
      </c>
      <c r="F13" s="1">
        <f>C13/3+E13*2/3</f>
        <v>76230.385487528343</v>
      </c>
      <c r="G13" s="1">
        <f>B5*20000*30</f>
        <v>37500</v>
      </c>
    </row>
    <row r="14" spans="1:7" ht="15.75" x14ac:dyDescent="0.25">
      <c r="A14" s="28" t="s">
        <v>47</v>
      </c>
      <c r="B14" s="28"/>
      <c r="C14" s="1">
        <f>0.0798/9.8*20000*30/0.9</f>
        <v>5428.5714285714294</v>
      </c>
      <c r="D14" s="1">
        <f>0.0798/6.57*20000*30/0.95</f>
        <v>7671.2328767123281</v>
      </c>
      <c r="E14" s="1"/>
      <c r="F14" s="1">
        <f>C14/3</f>
        <v>1809.5238095238099</v>
      </c>
      <c r="G14" s="1">
        <v>0</v>
      </c>
    </row>
    <row r="15" spans="1:7" s="5" customFormat="1" x14ac:dyDescent="0.25">
      <c r="A15" s="5" t="s">
        <v>44</v>
      </c>
      <c r="C15" s="31">
        <f>C8+C10+C11+C13+C14</f>
        <v>101134.01360544217</v>
      </c>
      <c r="D15" s="31">
        <f>D8+D10+D11+D13+D14</f>
        <v>96370.487863494345</v>
      </c>
      <c r="E15" s="31">
        <f>E8+E10+E11+E13+E14</f>
        <v>109042.85714285714</v>
      </c>
      <c r="F15" s="31">
        <f>F8+F10+F11+F13+F14</f>
        <v>120139.90929705216</v>
      </c>
      <c r="G15" s="31">
        <f>G8+G10+G11+G12+G13+G14</f>
        <v>60060</v>
      </c>
    </row>
    <row r="16" spans="1:7" s="5" customFormat="1" x14ac:dyDescent="0.25">
      <c r="C16" s="31"/>
      <c r="D16" s="31"/>
      <c r="E16" s="31"/>
      <c r="F16" s="31"/>
      <c r="G16" s="31"/>
    </row>
    <row r="17" spans="1:7" x14ac:dyDescent="0.25">
      <c r="A17" t="s">
        <v>45</v>
      </c>
    </row>
    <row r="18" spans="1:7" s="5" customFormat="1" x14ac:dyDescent="0.25">
      <c r="A18" s="5" t="s">
        <v>46</v>
      </c>
      <c r="C18" s="31">
        <f>C8</f>
        <v>18000</v>
      </c>
      <c r="D18" s="31">
        <f>D8</f>
        <v>12000</v>
      </c>
      <c r="E18" s="31"/>
      <c r="F18" s="33">
        <v>25000</v>
      </c>
      <c r="G18" s="33">
        <v>0</v>
      </c>
    </row>
    <row r="19" spans="1:7" x14ac:dyDescent="0.25">
      <c r="A19" s="5" t="s">
        <v>57</v>
      </c>
      <c r="C19" s="2">
        <f>C15+C18</f>
        <v>119134.01360544217</v>
      </c>
      <c r="D19" s="2">
        <f>D15+D18</f>
        <v>108370.48786349435</v>
      </c>
      <c r="F19" s="2">
        <f>F15+F18</f>
        <v>145139.90929705216</v>
      </c>
      <c r="G19" s="2">
        <f>G15+G18</f>
        <v>60060</v>
      </c>
    </row>
  </sheetData>
  <pageMargins left="0.7" right="0.7" top="0.75" bottom="0.75" header="0.3" footer="0.3"/>
  <pageSetup paperSize="9" orientation="portrait" horizontalDpi="0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E5E0-9801-4E7C-A20F-32EC6341A575}">
  <dimension ref="A1:E11"/>
  <sheetViews>
    <sheetView workbookViewId="0">
      <selection activeCell="B10" sqref="B10"/>
    </sheetView>
  </sheetViews>
  <sheetFormatPr defaultRowHeight="15" x14ac:dyDescent="0.25"/>
  <cols>
    <col min="1" max="1" width="44" customWidth="1"/>
    <col min="2" max="3" width="14.140625" customWidth="1"/>
  </cols>
  <sheetData>
    <row r="1" spans="1:5" x14ac:dyDescent="0.25">
      <c r="B1" s="17" t="s">
        <v>14</v>
      </c>
      <c r="C1" s="17" t="s">
        <v>13</v>
      </c>
    </row>
    <row r="2" spans="1:5" x14ac:dyDescent="0.25">
      <c r="A2" t="s">
        <v>10</v>
      </c>
      <c r="B2" s="27">
        <v>0.03</v>
      </c>
      <c r="C2" s="27">
        <v>6.5000000000000002E-2</v>
      </c>
    </row>
    <row r="4" spans="1:5" s="5" customFormat="1" x14ac:dyDescent="0.25">
      <c r="A4" s="5" t="s">
        <v>15</v>
      </c>
      <c r="B4" s="17" t="s">
        <v>14</v>
      </c>
      <c r="C4" s="17" t="s">
        <v>13</v>
      </c>
    </row>
    <row r="5" spans="1:5" ht="15.75" x14ac:dyDescent="0.25">
      <c r="A5" t="s">
        <v>11</v>
      </c>
      <c r="B5" s="19">
        <f>2.66</f>
        <v>2.66</v>
      </c>
      <c r="C5" s="19">
        <f>2.66</f>
        <v>2.66</v>
      </c>
      <c r="E5" s="18"/>
    </row>
    <row r="6" spans="1:5" x14ac:dyDescent="0.25">
      <c r="A6" t="s">
        <v>12</v>
      </c>
      <c r="B6" s="20">
        <f>B2*B5</f>
        <v>7.9799999999999996E-2</v>
      </c>
      <c r="C6" s="20">
        <f>C2*C5</f>
        <v>0.17290000000000003</v>
      </c>
    </row>
    <row r="9" spans="1:5" x14ac:dyDescent="0.25">
      <c r="A9" t="s">
        <v>16</v>
      </c>
    </row>
    <row r="10" spans="1:5" x14ac:dyDescent="0.25">
      <c r="A10" t="s">
        <v>17</v>
      </c>
      <c r="B10" s="14">
        <v>1.665</v>
      </c>
      <c r="C10" s="14">
        <v>1.665</v>
      </c>
    </row>
    <row r="11" spans="1:5" x14ac:dyDescent="0.25">
      <c r="A11" t="s">
        <v>12</v>
      </c>
      <c r="B11" s="20">
        <f>B2*B10</f>
        <v>4.9950000000000001E-2</v>
      </c>
      <c r="C11" s="20">
        <f>C2*C10</f>
        <v>0.108225</v>
      </c>
    </row>
  </sheetData>
  <pageMargins left="0.7" right="0.7" top="0.75" bottom="0.75" header="0.3" footer="0.3"/>
  <pageSetup paperSize="9" orientation="portrait" horizontalDpi="0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Vergleich dynamisch</vt:lpstr>
      <vt:lpstr>Vergleich statisch</vt:lpstr>
      <vt:lpstr>CO2-Steuer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Kuehne, Severin</dc:creator>
  <cp:lastModifiedBy>Kuehne, Severin</cp:lastModifiedBy>
  <dcterms:created xsi:type="dcterms:W3CDTF">2023-04-04T09:19:50Z</dcterms:created>
  <dcterms:modified xsi:type="dcterms:W3CDTF">2023-05-09T21:35:35Z</dcterms:modified>
</cp:coreProperties>
</file>